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ern.varde.dk\dfs\Home\jonq\appl\"/>
    </mc:Choice>
  </mc:AlternateContent>
  <bookViews>
    <workbookView xWindow="1275" yWindow="105" windowWidth="5955" windowHeight="6525" firstSheet="2" activeTab="2"/>
  </bookViews>
  <sheets>
    <sheet name="Fordelt på udgifter - Tabel" sheetId="35" state="hidden" r:id="rId1"/>
    <sheet name="Samlet oversigt - Tabel" sheetId="36" state="hidden" r:id="rId2"/>
    <sheet name="Samlet" sheetId="29" r:id="rId3"/>
    <sheet name="Ø &amp; E" sheetId="33" r:id="rId4"/>
    <sheet name="P &amp; T" sheetId="32" r:id="rId5"/>
    <sheet name="B &amp; L" sheetId="31" r:id="rId6"/>
    <sheet name="K &amp; F" sheetId="26" r:id="rId7"/>
    <sheet name="S &amp; S" sheetId="27" r:id="rId8"/>
    <sheet name="A &amp; I" sheetId="34" r:id="rId9"/>
  </sheets>
  <externalReferences>
    <externalReference r:id="rId10"/>
  </externalReferences>
  <definedNames>
    <definedName name="_xlnm.Print_Area" localSheetId="8">'A &amp; I'!$A$1:$D$34</definedName>
    <definedName name="_xlnm.Print_Area" localSheetId="5">'B &amp; L'!$A$1:$F$38</definedName>
    <definedName name="_xlnm.Print_Area" localSheetId="6">'K &amp; F'!$A$1:$F$23</definedName>
    <definedName name="_xlnm.Print_Area" localSheetId="4">'P &amp; T'!$A$1:$F$25</definedName>
    <definedName name="_xlnm.Print_Area" localSheetId="7">'S &amp; S'!$A$1:$F$53</definedName>
    <definedName name="_xlnm.Print_Area" localSheetId="3">'Ø &amp; E'!$A$1:$F$28</definedName>
    <definedName name="_xlnm.Print_Titles" localSheetId="8">'A &amp; I'!$1:$3</definedName>
    <definedName name="_xlnm.Print_Titles" localSheetId="5">'B &amp; L'!$1:$3</definedName>
    <definedName name="_xlnm.Print_Titles" localSheetId="6">'K &amp; F'!$1:$3</definedName>
    <definedName name="_xlnm.Print_Titles" localSheetId="4">'P &amp; T'!$1:$3</definedName>
    <definedName name="_xlnm.Print_Titles" localSheetId="7">'S &amp; S'!$1:$3</definedName>
    <definedName name="_xlnm.Print_Titles" localSheetId="3">'Ø &amp; E'!$1:$3</definedName>
  </definedNames>
  <calcPr calcId="152511"/>
</workbook>
</file>

<file path=xl/calcChain.xml><?xml version="1.0" encoding="utf-8"?>
<calcChain xmlns="http://schemas.openxmlformats.org/spreadsheetml/2006/main">
  <c r="D19" i="33" l="1"/>
  <c r="B19" i="33"/>
  <c r="F25" i="32" l="1"/>
  <c r="F24" i="32"/>
  <c r="F23" i="32"/>
  <c r="B28" i="32"/>
  <c r="F14" i="36" l="1"/>
  <c r="E14" i="36"/>
  <c r="F13" i="36"/>
  <c r="E13" i="36"/>
  <c r="F9" i="36"/>
  <c r="E9" i="36"/>
  <c r="D9" i="36"/>
  <c r="C9" i="36"/>
  <c r="B9" i="36"/>
  <c r="F8" i="36"/>
  <c r="E8" i="36"/>
  <c r="D8" i="36"/>
  <c r="C8" i="36"/>
  <c r="B8" i="36"/>
  <c r="F6" i="36"/>
  <c r="E6" i="36"/>
  <c r="D6" i="36"/>
  <c r="C6" i="36"/>
  <c r="B6" i="36"/>
  <c r="C5" i="36"/>
  <c r="C4" i="36"/>
  <c r="B5" i="35" l="1"/>
  <c r="B9" i="35"/>
  <c r="D8" i="35"/>
  <c r="E8" i="35"/>
  <c r="B8" i="35"/>
  <c r="F8" i="35" s="1"/>
  <c r="D7" i="35"/>
  <c r="E7" i="35" s="1"/>
  <c r="D6" i="35"/>
  <c r="E6" i="35"/>
  <c r="B6" i="35"/>
  <c r="D5" i="35"/>
  <c r="F5" i="35" s="1"/>
  <c r="E5" i="35"/>
  <c r="E13" i="35"/>
  <c r="F13" i="35" s="1"/>
  <c r="E12" i="35"/>
  <c r="F12" i="35" s="1"/>
  <c r="F7" i="35" l="1"/>
  <c r="F6" i="35"/>
  <c r="B32" i="33"/>
  <c r="F9" i="33"/>
  <c r="B42" i="31"/>
  <c r="B43" i="31"/>
  <c r="B39" i="34"/>
  <c r="C28" i="33"/>
  <c r="D33" i="34"/>
  <c r="D32" i="34"/>
  <c r="E21" i="26"/>
  <c r="E36" i="31"/>
  <c r="E23" i="32"/>
  <c r="B11" i="33"/>
  <c r="B28" i="33" s="1"/>
  <c r="E35" i="27" l="1"/>
  <c r="D7" i="27"/>
  <c r="F19" i="33" l="1"/>
  <c r="F26" i="33" s="1"/>
  <c r="F17" i="33" l="1"/>
  <c r="D4" i="33" l="1"/>
  <c r="B4" i="33"/>
  <c r="E17" i="27" l="1"/>
  <c r="F18" i="26" l="1"/>
  <c r="F12" i="26"/>
  <c r="F9" i="26"/>
  <c r="F22" i="26" s="1"/>
  <c r="F6" i="26"/>
  <c r="F4" i="26"/>
  <c r="D23" i="26"/>
  <c r="E18" i="26"/>
  <c r="E22" i="26" s="1"/>
  <c r="E12" i="26"/>
  <c r="E9" i="26"/>
  <c r="E6" i="26"/>
  <c r="E4" i="26"/>
  <c r="C23" i="26"/>
  <c r="B23" i="26"/>
  <c r="F21" i="26" l="1"/>
  <c r="F23" i="26"/>
  <c r="E23" i="26"/>
  <c r="F7" i="29" l="1"/>
  <c r="F7" i="36" s="1"/>
  <c r="E7" i="29"/>
  <c r="E7" i="36" s="1"/>
  <c r="D7" i="29"/>
  <c r="D7" i="36" s="1"/>
  <c r="C7" i="29"/>
  <c r="C7" i="36" s="1"/>
  <c r="C10" i="36" s="1"/>
  <c r="B7" i="29"/>
  <c r="B7" i="36" s="1"/>
  <c r="E5" i="27" l="1"/>
  <c r="E8" i="27"/>
  <c r="E11" i="27"/>
  <c r="E13" i="27"/>
  <c r="E14" i="27"/>
  <c r="E22" i="27"/>
  <c r="E24" i="27"/>
  <c r="E26" i="27"/>
  <c r="E27" i="27"/>
  <c r="E28" i="27"/>
  <c r="E30" i="27"/>
  <c r="E37" i="27"/>
  <c r="E38" i="27"/>
  <c r="E39" i="27"/>
  <c r="E40" i="27"/>
  <c r="E43" i="27"/>
  <c r="E44" i="27"/>
  <c r="E47" i="27"/>
  <c r="E49" i="27"/>
  <c r="F49" i="27"/>
  <c r="F47" i="27"/>
  <c r="F44" i="27"/>
  <c r="F43" i="27"/>
  <c r="F40" i="27"/>
  <c r="F39" i="27"/>
  <c r="F38" i="27"/>
  <c r="F37" i="27"/>
  <c r="F35" i="27"/>
  <c r="F30" i="27"/>
  <c r="F28" i="27"/>
  <c r="F27" i="27"/>
  <c r="F26" i="27"/>
  <c r="F24" i="27"/>
  <c r="F22" i="27"/>
  <c r="F17" i="27"/>
  <c r="F14" i="27"/>
  <c r="F13" i="27"/>
  <c r="F11" i="27"/>
  <c r="F5" i="27"/>
  <c r="E4" i="27"/>
  <c r="B34" i="34"/>
  <c r="B9" i="29" s="1"/>
  <c r="D30" i="34"/>
  <c r="C30" i="34" s="1"/>
  <c r="D28" i="34"/>
  <c r="D26" i="34"/>
  <c r="D24" i="34"/>
  <c r="D22" i="34"/>
  <c r="D20" i="34"/>
  <c r="D18" i="34"/>
  <c r="D16" i="34"/>
  <c r="D14" i="34"/>
  <c r="D12" i="34"/>
  <c r="D10" i="34"/>
  <c r="C10" i="34" s="1"/>
  <c r="D4" i="34"/>
  <c r="C4" i="29"/>
  <c r="B4" i="29"/>
  <c r="B4" i="36" s="1"/>
  <c r="E19" i="33"/>
  <c r="E26" i="33" s="1"/>
  <c r="E17" i="33"/>
  <c r="F14" i="33"/>
  <c r="E14" i="33"/>
  <c r="F12" i="33"/>
  <c r="E12" i="33"/>
  <c r="D11" i="33"/>
  <c r="F11" i="33" s="1"/>
  <c r="F7" i="33"/>
  <c r="E7" i="33"/>
  <c r="B31" i="33" s="1"/>
  <c r="F5" i="33"/>
  <c r="E5" i="33"/>
  <c r="F4" i="33"/>
  <c r="E4" i="33"/>
  <c r="E8" i="32"/>
  <c r="E19" i="32"/>
  <c r="E15" i="32"/>
  <c r="E13" i="32"/>
  <c r="E6" i="32"/>
  <c r="D25" i="32"/>
  <c r="C25" i="32"/>
  <c r="C5" i="29" s="1"/>
  <c r="B25" i="32"/>
  <c r="B5" i="29" s="1"/>
  <c r="B5" i="36" s="1"/>
  <c r="B10" i="36" s="1"/>
  <c r="F19" i="32"/>
  <c r="F15" i="32"/>
  <c r="F8" i="32"/>
  <c r="F6" i="32"/>
  <c r="F4" i="32"/>
  <c r="E24" i="32" l="1"/>
  <c r="E25" i="32" s="1"/>
  <c r="E5" i="29" s="1"/>
  <c r="E5" i="36" s="1"/>
  <c r="D34" i="34"/>
  <c r="F52" i="27"/>
  <c r="F5" i="29"/>
  <c r="F5" i="36" s="1"/>
  <c r="D5" i="29"/>
  <c r="D5" i="36" s="1"/>
  <c r="E52" i="27"/>
  <c r="E16" i="27"/>
  <c r="E51" i="27"/>
  <c r="E9" i="29"/>
  <c r="F9" i="29" s="1"/>
  <c r="E11" i="33"/>
  <c r="D28" i="33"/>
  <c r="D4" i="29" s="1"/>
  <c r="D4" i="36" s="1"/>
  <c r="C4" i="34"/>
  <c r="E9" i="33"/>
  <c r="E27" i="33" s="1"/>
  <c r="F28" i="33"/>
  <c r="F4" i="29" s="1"/>
  <c r="F4" i="36" s="1"/>
  <c r="C14" i="31"/>
  <c r="D14" i="31"/>
  <c r="B14" i="31"/>
  <c r="E18" i="31"/>
  <c r="F33" i="31"/>
  <c r="E33" i="31"/>
  <c r="F31" i="31"/>
  <c r="E31" i="31"/>
  <c r="C29" i="31"/>
  <c r="B29" i="31"/>
  <c r="F27" i="31"/>
  <c r="E27" i="31"/>
  <c r="E25" i="31"/>
  <c r="C25" i="31"/>
  <c r="F25" i="31" s="1"/>
  <c r="D24" i="31"/>
  <c r="D20" i="31"/>
  <c r="B20" i="31"/>
  <c r="B17" i="31" s="1"/>
  <c r="F18" i="31"/>
  <c r="C17" i="31"/>
  <c r="F15" i="31"/>
  <c r="F14" i="31" s="1"/>
  <c r="E15" i="31"/>
  <c r="E14" i="31" s="1"/>
  <c r="F12" i="31"/>
  <c r="E12" i="31"/>
  <c r="F10" i="31"/>
  <c r="E10" i="31"/>
  <c r="D5" i="31"/>
  <c r="D4" i="31" s="1"/>
  <c r="C4" i="31"/>
  <c r="B4" i="31"/>
  <c r="F10" i="36" l="1"/>
  <c r="F20" i="36" s="1"/>
  <c r="D10" i="36"/>
  <c r="F27" i="33"/>
  <c r="E28" i="33"/>
  <c r="E4" i="29" s="1"/>
  <c r="E4" i="36" s="1"/>
  <c r="E10" i="36" s="1"/>
  <c r="E20" i="36" s="1"/>
  <c r="C34" i="34"/>
  <c r="D9" i="29" s="1"/>
  <c r="F29" i="31"/>
  <c r="F24" i="31" s="1"/>
  <c r="E5" i="31"/>
  <c r="E4" i="31" s="1"/>
  <c r="F20" i="31"/>
  <c r="F17" i="31" s="1"/>
  <c r="B24" i="31"/>
  <c r="C24" i="31"/>
  <c r="F5" i="31"/>
  <c r="F4" i="31" s="1"/>
  <c r="E20" i="31"/>
  <c r="E17" i="31" s="1"/>
  <c r="E37" i="31" s="1"/>
  <c r="E29" i="31"/>
  <c r="E24" i="31" s="1"/>
  <c r="D17" i="31"/>
  <c r="D38" i="31" s="1"/>
  <c r="D6" i="29" s="1"/>
  <c r="C38" i="31" l="1"/>
  <c r="C6" i="29" s="1"/>
  <c r="F36" i="31"/>
  <c r="F38" i="31"/>
  <c r="B38" i="31"/>
  <c r="B6" i="29" s="1"/>
  <c r="E38" i="31"/>
  <c r="F6" i="29"/>
  <c r="E6" i="29"/>
  <c r="B46" i="27"/>
  <c r="C42" i="27"/>
  <c r="C33" i="27" s="1"/>
  <c r="B42" i="27"/>
  <c r="D16" i="27"/>
  <c r="C16" i="27"/>
  <c r="B16" i="27"/>
  <c r="C10" i="27"/>
  <c r="B10" i="27"/>
  <c r="B7" i="27" s="1"/>
  <c r="C8" i="27"/>
  <c r="D4" i="27"/>
  <c r="C4" i="27"/>
  <c r="B4" i="27"/>
  <c r="F8" i="27" l="1"/>
  <c r="C7" i="27"/>
  <c r="D33" i="27"/>
  <c r="F42" i="27"/>
  <c r="E42" i="27"/>
  <c r="E10" i="27"/>
  <c r="E7" i="27" s="1"/>
  <c r="F10" i="27"/>
  <c r="F16" i="27"/>
  <c r="E46" i="27"/>
  <c r="F46" i="27"/>
  <c r="F4" i="27"/>
  <c r="B33" i="27"/>
  <c r="B53" i="27" s="1"/>
  <c r="B8" i="29" s="1"/>
  <c r="C53" i="27"/>
  <c r="C8" i="29" s="1"/>
  <c r="F51" i="27" l="1"/>
  <c r="F33" i="27"/>
  <c r="E33" i="27"/>
  <c r="E53" i="27" s="1"/>
  <c r="E8" i="29" s="1"/>
  <c r="F7" i="27"/>
  <c r="F53" i="27" s="1"/>
  <c r="F8" i="29" s="1"/>
  <c r="F10" i="29" s="1"/>
  <c r="D53" i="27"/>
  <c r="D8" i="29" s="1"/>
  <c r="E13" i="29" l="1"/>
  <c r="F13" i="29" s="1"/>
  <c r="E14" i="29"/>
  <c r="F14" i="29" s="1"/>
  <c r="F20" i="29" l="1"/>
  <c r="E10" i="29"/>
  <c r="B10" i="29"/>
  <c r="C10" i="29"/>
  <c r="C4" i="35" s="1"/>
  <c r="C9" i="35" s="1"/>
  <c r="D10" i="29"/>
  <c r="E20" i="29" l="1"/>
  <c r="E4" i="35"/>
  <c r="D4" i="35" l="1"/>
  <c r="D9" i="35" s="1"/>
  <c r="E9" i="35"/>
  <c r="E19" i="35" s="1"/>
  <c r="F4" i="35" l="1"/>
  <c r="F9" i="35" s="1"/>
  <c r="F19" i="35" s="1"/>
</calcChain>
</file>

<file path=xl/sharedStrings.xml><?xml version="1.0" encoding="utf-8"?>
<sst xmlns="http://schemas.openxmlformats.org/spreadsheetml/2006/main" count="289" uniqueCount="186">
  <si>
    <t>I alt</t>
  </si>
  <si>
    <t>Udvalget for Økonomi og Erhverv</t>
  </si>
  <si>
    <t>Udvalget for Plan og Teknik</t>
  </si>
  <si>
    <t>Udvalget for Kultur og Fritid</t>
  </si>
  <si>
    <t>Udvalget for Social og Sundhed</t>
  </si>
  <si>
    <t>Udvalget for Arbejdsmarked og Integration</t>
  </si>
  <si>
    <t>Renter og grarantiprovision</t>
  </si>
  <si>
    <t>Det skrå skatteloft</t>
  </si>
  <si>
    <t>Grundskyld</t>
  </si>
  <si>
    <t>Dækningsafgift af offentlige ejendomme</t>
  </si>
  <si>
    <t>Afdrag på lån</t>
  </si>
  <si>
    <t>Forventet regnskabs-resultat 2018</t>
  </si>
  <si>
    <t>Samlede merindtægter/mindre udgifter</t>
  </si>
  <si>
    <t>Udvalget for Børn og Læring</t>
  </si>
  <si>
    <t>I alt netto drift</t>
  </si>
  <si>
    <t>Budgetopfølgning pr. 31. marts 2018 - DRIFT (beløb i mio. kr.)</t>
  </si>
  <si>
    <t>Samlede merudgifter/mindre indtægter</t>
  </si>
  <si>
    <t>Ældreområdet</t>
  </si>
  <si>
    <t>Sundhedsområdet</t>
  </si>
  <si>
    <t>Botilbud</t>
  </si>
  <si>
    <t>Skoleområdet</t>
  </si>
  <si>
    <t>Ungdomsuddannelser</t>
  </si>
  <si>
    <t>Folkeoplysning</t>
  </si>
  <si>
    <t>Dagtilbud</t>
  </si>
  <si>
    <t>Dagpleje</t>
  </si>
  <si>
    <t>Tilbud til børn og unge med særlige behov mv.</t>
  </si>
  <si>
    <t>Forebyggende foranstaltninger</t>
  </si>
  <si>
    <t>Plejefamilier</t>
  </si>
  <si>
    <t>Central refusion</t>
  </si>
  <si>
    <t>Kontante ydelser</t>
  </si>
  <si>
    <t>Døgninstitutioner og opholdssteder</t>
  </si>
  <si>
    <t>Daginstitutioner</t>
  </si>
  <si>
    <t>Integration</t>
  </si>
  <si>
    <t>Intregrationsydelse - mindre udgift</t>
  </si>
  <si>
    <t>Danskundervisning, færre kursister</t>
  </si>
  <si>
    <t>Tolkeudgift, mentorer og aktivering</t>
  </si>
  <si>
    <t>Grundtilskud - mindre tilskud</t>
  </si>
  <si>
    <t>Tilpasning refusion til mindre udgifter</t>
  </si>
  <si>
    <t>Førtidspension</t>
  </si>
  <si>
    <t>Sygedagpenge</t>
  </si>
  <si>
    <t>Grundet øget indsats for at mindske antal årsværk, er sagantallet faldet, hvilket medfører en mindre udgift på ca. 4 mio. kr.</t>
  </si>
  <si>
    <t>Uddannelses- og kontanthjælp</t>
  </si>
  <si>
    <t>Refusion reduceres med 3 mio.</t>
  </si>
  <si>
    <t>Revalidering</t>
  </si>
  <si>
    <t>Det budgetterede antal årsværk er 111 men det nuværende skøn er ca. 95 sager, hvilket betyder en mindre udgift på 0,5 mio. kr.</t>
  </si>
  <si>
    <t>Fleksjob</t>
  </si>
  <si>
    <t>Det budgetterede antal fleksjob er 810 men det nuværende er 822, og sammen med en øget omkostninger pr. fleksjob forventes der en merudgift på 5 mio. kr.</t>
  </si>
  <si>
    <t>Ressourceforløb</t>
  </si>
  <si>
    <t>Det budgetterede antal årsværk er 170 men det nuværende skøn er ca. 240 sager, hvilket betyder en merudgift på 5 mio. kr.</t>
  </si>
  <si>
    <t>Jobafklaring</t>
  </si>
  <si>
    <t>Det budgetterede antal årsværk er 131 men det nuværende skøn er ca. 119 sager, hvilket betyder en mindre udgift på 0,5 mio. kr.</t>
  </si>
  <si>
    <t>Ledighedsydelse</t>
  </si>
  <si>
    <t>Det budgetterede antal årsværk er 129 men det nuværende skøn er ca. 155 sager, hvilket betyder en merudgift på 1,5 mio. kr.</t>
  </si>
  <si>
    <t>Beskæftigelsesordninger (refusion)</t>
  </si>
  <si>
    <t>Rammen reduceres med 1 mio., hvoraf refusionen er 50 %, svarer til 0,5 mio. mindre i refusion</t>
  </si>
  <si>
    <t>Jobrotation</t>
  </si>
  <si>
    <t>Jobrotation er ikke så aktuel grundet lav ledighed, samtidig er der sket mindre regeljusteringer</t>
  </si>
  <si>
    <t>Øvrige (bl.a. EGU, forsikrede ledige)</t>
  </si>
  <si>
    <t>Byudvikling, bolig- og miljøforanstaltninger</t>
  </si>
  <si>
    <t>Redningsberedskab</t>
  </si>
  <si>
    <t>Øvrige</t>
  </si>
  <si>
    <t>Kollektiv trafik og handikapkørsel</t>
  </si>
  <si>
    <t>Poltisk organisation</t>
  </si>
  <si>
    <t>Administrativ organisation</t>
  </si>
  <si>
    <t>Erhvervsudvikling, turisme og landdistrikter</t>
  </si>
  <si>
    <t>Fællesudgifter og administration mv.</t>
  </si>
  <si>
    <t>Puljer (løn og barsel, tjenestemænd, forsikring mv.)</t>
  </si>
  <si>
    <t>Kollektiv trafik</t>
  </si>
  <si>
    <t>Til plejevederlag til pasning af nærtstående med handicap eller alvorlig sygdom forventes et merforbrug på 0,5 mio. kr. Antallet af borgere variere hen over året, men forbruget forventes at være på niveau med 2017.</t>
  </si>
  <si>
    <t>Merforbrug vedrørende "Tilskud til ansættelse af hjælpere til personer med nedsat funktionsevne", hvor der gennem en årrække har været en udvikling i udgiften.</t>
  </si>
  <si>
    <t>For særlige pladser i psykiatrien, er der på nuværende tidspunkt en forventning om en overskridelse på 0,7 mio. kr. Der er pr. 1. marts etableret 15 pladser i Vejle og der skal yderligere etableres 16 pladser i Esbjerg. Der foreligger endnu ikke en dato for hvornår de sidste pladser etableres. Pladserne finansieres ved objektiv finansiering, så selv om Varde kommune ikke pt. benytter nogle af pladserne, skal kommunen medfinansiere de tomme pladser.</t>
  </si>
  <si>
    <t>Ejendomme</t>
  </si>
  <si>
    <t>Grønne områder</t>
  </si>
  <si>
    <t>Miljø og natur</t>
  </si>
  <si>
    <t>Vejvæsen</t>
  </si>
  <si>
    <t>Vinterforanstaltninger</t>
  </si>
  <si>
    <t>Merforbruget i 2018 skyldes bl.a afregning af eftervederlag til fratrådte udvalgsformænd samt opstart af nyvalgte byrådsmedlemmer</t>
  </si>
  <si>
    <t>Forsikringer,risikostyring, forventer en ovf til 2019 på 2,9 mio.kr.</t>
  </si>
  <si>
    <t>Arbejdsskadeerstatninger skønnes at blive 1,5 mio.kr lavere i 2018 - vil ultimo 2018 blive tilført kommunekassen.</t>
  </si>
  <si>
    <t>Ældreboliger</t>
  </si>
  <si>
    <t>Aktivitetsbestemt medfinansiering af sundhedsvæsenet</t>
  </si>
  <si>
    <t xml:space="preserve">Genoptræning, vedligeholdelsestræning og vederlagsfri fysioterapi </t>
  </si>
  <si>
    <t>Kommunal tandpleje</t>
  </si>
  <si>
    <t>Sundhedsfremme og forebyggelse</t>
  </si>
  <si>
    <t>Andre sundhedsudgifter</t>
  </si>
  <si>
    <t>Fællesudgifter ældreområdet</t>
  </si>
  <si>
    <t>Der forventes en mindreudgift til uddannelse af Sosu-elever på 2,0 mio. kr.. Årsagen hertil er, at der i 2017 ikke var tilstrækkelig med ansøgere til stillingerne som social og sundhedshjælper elever. Da uddannelsen varer 1 år og 2 måneder, har det også indflydelse på forbruget i 2018</t>
  </si>
  <si>
    <t>Forventet mindreudgift på lejetab på 0,3 mio. kr., da Kirkegade 2, Oksbøl og Søndergade 44, Varde, nedlægges.</t>
  </si>
  <si>
    <t>Ekstra udgift til lederlønninger, 0,3 mio. kr.</t>
  </si>
  <si>
    <t xml:space="preserve">Hjemmepleje </t>
  </si>
  <si>
    <t>Hjemmeplejens budget har fået tilført 5,2 mio. kr. fra midlerne til en værdig ældrepleje. De 5,2 mio. kr. skal også dække udgiften til fast vagt på plejecentrene, som pt. omfatter 2 beboere. På nuværende tidspunkt forventes et mindreforbrug på 1 mio. kr.</t>
  </si>
  <si>
    <t xml:space="preserve">Plejecentre </t>
  </si>
  <si>
    <t>Forventet mindreforbrug på betalinger for Varde kommune borgere med ophold på andre kommunes plejecentre. Forbruget forventes på niveau med 2017, og det giver et mindreforbrug på 1,5 mio. kr.</t>
  </si>
  <si>
    <t>Hjemmesygepleje</t>
  </si>
  <si>
    <t>Forebyggende indsats samt aflastningstilbud</t>
  </si>
  <si>
    <t xml:space="preserve">Hjælpemidler </t>
  </si>
  <si>
    <t>Ved budgetlægningen for 2018 blev der tilført 1,2 mio. kr. til øgede udgifter til hjælpemidler. Der er sket en stigning i udgiften til GPS-hjælpemidler, men hele beløbet forventes ikke brugt. Der forventes en mindreudgift på 0,7 mio. kr.</t>
  </si>
  <si>
    <t>Plejevederlag og sygeplejeartikl. ved pasning af døende</t>
  </si>
  <si>
    <t>Tilbud til voksne med særlige behov</t>
  </si>
  <si>
    <t>Personlig støtte og pasning af personer med handicap</t>
  </si>
  <si>
    <t>Rådgivning og rådgivningsinstitutioner</t>
  </si>
  <si>
    <t>Forsorgshjem og Center Bøgely</t>
  </si>
  <si>
    <t>Alkoholdbehandling og behandlingshjem</t>
  </si>
  <si>
    <t>Behandling af stofmisbrugere</t>
  </si>
  <si>
    <t>På misbrugsområdet er der en stigning i udgiften på behandling af borgere i substitutionsklinikken på 1,1 mio. kr., som skyldes at afregningstaksten er steget. Taksten er steget som følge af nye krav fra Styrelsen for patientsikkerhed.</t>
  </si>
  <si>
    <t>Kontaktperson og ledsagerordning</t>
  </si>
  <si>
    <t>Særlige pladser i psykiatrien</t>
  </si>
  <si>
    <t>Beskyttet beskæftigelse og Aktivitets og samværstilbud</t>
  </si>
  <si>
    <t>Kontante ydelser, sociale formål</t>
  </si>
  <si>
    <t>For tilskud til merudgifter for voksne med nedsat funktionsevne forventes et mindreforbrug på 0,5 mio. kr. Mindreforbruget skyldes, at en ankeafgørelse har medført, at ikke helt så mange er berettiget til refusion.</t>
  </si>
  <si>
    <t>Frivilligt socialt arbejde</t>
  </si>
  <si>
    <t>Korrigeret budget
ekskl. budget-overførsler</t>
  </si>
  <si>
    <t>Budget- overførsler fra 2017 til 2018</t>
  </si>
  <si>
    <t>(Ekskl. Overførsler)</t>
  </si>
  <si>
    <t>(Inkl. overførsler)</t>
  </si>
  <si>
    <t>Færre elever på efterskoler svarende til en mindreudgift på 2,1 mio kr.</t>
  </si>
  <si>
    <t xml:space="preserve">Øgede udgifter til elevbefordring på 0,4 mio. kr. især på grund af flere elever i specialklasser. </t>
  </si>
  <si>
    <t>Det forventes, at der bruges 7,6 mio. kr. af overførte midler på skoleområdet til udviklingstiltag, flere elever i specialklasser.</t>
  </si>
  <si>
    <t>Sundhedsudgifter (tandpleje og sundhedspleje)</t>
  </si>
  <si>
    <t>Der forventes et merforbrug på 0,2 mio. kr. på grund af flere børn i private pasningsordninger end budgetteret. Der kommer ny prognose 15. maj.</t>
  </si>
  <si>
    <t>Det forventes, at der bruges 0,1 mio. kr. af overførslerne fra tidligere år til udviklingstiltag.</t>
  </si>
  <si>
    <t>Folkeskolen (skoler, SFO, PPR og befordring)</t>
  </si>
  <si>
    <t>2,1 mio. kr. af budgetoverførslen overføres til Grønne områder</t>
  </si>
  <si>
    <t>Forventet afvigelse                                (- = mindreforbrug)</t>
  </si>
  <si>
    <t>Forventet afvigelse                                           (- = mindreforbrug)</t>
  </si>
  <si>
    <t>Samlet set forventes der for børn og unge med særlige behov et mindreforbrug på 3,2 mio. ekskl. overførsler</t>
  </si>
  <si>
    <t>Forventet afvigelse
(- = mindreforbrug)</t>
  </si>
  <si>
    <t>(Ekskl. overførsler)</t>
  </si>
  <si>
    <t>Forventet afvigelse 
(- = mindreforbrug)</t>
  </si>
  <si>
    <t>Der er et samlet mindreforbrug på 0,5 mio. kr. på andre dele af vejvæsnet</t>
  </si>
  <si>
    <t>Biblioteker</t>
  </si>
  <si>
    <t>Idrætsfaciliteter for børn og unge</t>
  </si>
  <si>
    <t>Folkeoplysning og fritidsaktiviteter</t>
  </si>
  <si>
    <t>Kulturel virksomhed</t>
  </si>
  <si>
    <t>Ejendomme og øvrige fritidsfaciliteter</t>
  </si>
  <si>
    <t>Forventet afvigelse 
 (- = mindreforbrug)</t>
  </si>
  <si>
    <t>Korrigeret budget</t>
  </si>
  <si>
    <t>Forventet afvigelse   
(- = mindreforbrug)</t>
  </si>
  <si>
    <t>Efterreguleringer af tilskud og udligning 
(Kommunerne har samlet set hævet skatten i 2018, hvilket medfører en sanktion fra regeringen)</t>
  </si>
  <si>
    <t>Efterreguleringer for 2017 og midtvejsregulering for 2018 vedrørende beskæftigelsestilskud</t>
  </si>
  <si>
    <t>Der forventes en merudgift på årets budget på 0,4 mio. kr. vedrørende beløb overført fra 2017, herunder aktivitetsområde i Varde Sommerland, pulje til udendørsanlæg samt ejendomsudgifter.</t>
  </si>
  <si>
    <t>Budgetforudsætninger</t>
  </si>
  <si>
    <t xml:space="preserve">Afvigelsen på grønne områder skyldes tidligere års merforbrug, som der er en plan for at afvikle. I indeværende år flyttes 2,1 mio. kr. af budgetoverførslen fra miljø og natur. </t>
  </si>
  <si>
    <t xml:space="preserve">Der er pr. 31. marts afregnet for 2 måneder og forbruget ligger højere end det månedlige gennemsnit. Januar er dog typisk en måned med høj aktivitet, så på baggrund af kun 2 måneder er det vanskeligt at konkludere om budgettet for 2018 kan overholdes. Der bliver løbende fulgt op på afregningerne.                                </t>
  </si>
  <si>
    <t xml:space="preserve">Øgede udgifter til specialtandpleje. Antallet af borgere der modtager specialtandpleje er stigende. Der er indgået kontrakt med Regionen, som behandler de tungeste borgere, hvor det bl.a. kan være nødvendigt med narkose. Den kommunale Tandplejen forestår eftersyn mm., hvor det er muligt. </t>
  </si>
  <si>
    <t>Langtidssygdomspulje- oprindelig budg. 2018 på 11,8 mio.kr, positiv budgetoverførsel fra 2017 på 4,9 mio.kr. skønnes at opveje merforbruget på barselspulje</t>
  </si>
  <si>
    <t>Barselspulje- oprindelig budg. 2018 på 14,8 mio.kr. er under pres, negativ budgetoverførsel fra 2017 på 4,9 mio.kr.</t>
  </si>
  <si>
    <t>Total:</t>
  </si>
  <si>
    <t xml:space="preserve">Fælles redningsbereskab med Esbjerg og Fanø kommuner. Beløbet betales primo 2018. </t>
  </si>
  <si>
    <t>Mindreforbrug på 3 mio. kr., som kan henføres til en række konti, som havde et mindreforbrug i 2017 og som også forventes at have et mindreforbrug i 2018. Beløbet tilføres kassebeholdningen.</t>
  </si>
  <si>
    <t xml:space="preserve">Der forventes, at der forbruges 5,8 mio. kr. af overførslen på 11,8 mio. kr. fra 2017 til 2018 til diverse puljer. Det er dog tidligt på året, hvorfor der er en vis usikkerhed. Det medfører, at der forventes en budgetoverførsel til 2019 på 6 mio. kr. </t>
  </si>
  <si>
    <t>På biblioteksområdet forventes det, at alle de overførte midler fra 2017 på 0,8 mio. kr. bruges i 2018. Der er lavet en plan for besparelser, som først har fuld virkning fra 2019.</t>
  </si>
  <si>
    <t>Ved uændrede retningslinjer for lokaletilskud forventes et merforbrug på 0,9 mio. kr. Udvalget får en sag, hvor de præsenteres for muligheder for at genoprette lokaletilskudskontoen.</t>
  </si>
  <si>
    <t xml:space="preserve">Mindreforbruget vedrører primært pulje afsat til foreningsløse, der har vist sig svær at få udmøntet og fra 2019 indgår i den reviderede puljefordeling. På aftenskoleområdet er det ligeledes den nuværende vurderingen, at budgettet ikke anvendes fuldt ud. </t>
  </si>
  <si>
    <t>Merudgifter ifm. deltagelse i PHD-forskningsprojekt i samarbejde med Esbejrg kommune og Syddansk Universitet, hvor omdrejningspunktet er kompetenceløft på demensområdet , 0,7 mio. kr.</t>
  </si>
  <si>
    <t>Der forventes overskud på 0,4 kr. vedr. pulje afsat til at imødegå eventuelt momstab ved ændring i selvejende institutioners momsregistrering.</t>
  </si>
  <si>
    <t>Merforbrug vedrører primært halområdet, hvor forskellige forhold over årene på enkelte anlæg har betydet forskel mellem de afsatte budgetter og tilskud jfr. harmoniseringsprincipper/indgåede kontrakter.</t>
  </si>
  <si>
    <t>Udover ovenstående, er det usikkert om beløb på 0,4 mio. kr. der er afsat til øget driftstilskud til Janusbygningen kommer til udbetaling indeværende år, da det afhænger af, hvornår den planlagte udvidelse kan realiseres.</t>
  </si>
  <si>
    <t>Samtidig forventes det, at der bruges i størrelsesordenen 0,3 mio. kr. af beløb overført fra 2017.</t>
  </si>
  <si>
    <t>Der skønnes et mindreforbrug på 0,6 mio. kr. der vedrører midler, hvor det på nuværende tidspunkt er kendt, at udgiften eller dele heraf, først afholdes i 2019 og derfor overføres til kommende regnskabsår jf. gældende praksis indenfor rammen.</t>
  </si>
  <si>
    <t xml:space="preserve">Forsigtigt skøn på 0,1 mio. kr. i samlet mindreforbrug på øvrige poster. </t>
  </si>
  <si>
    <t>Området indeholder foruden driftstilskuddene til Museet en bred vifte at tilskud og tilbud, herunder tilskud til diverse kunst- og kulturelle formål, samt Musik &amp; Billedskolen.</t>
  </si>
  <si>
    <t>Overførsel til 2019    i alt</t>
  </si>
  <si>
    <t>Tilføres kommunekassen  i alt</t>
  </si>
  <si>
    <t>Der er opsparet 0,5 mio. kr. til kystsikring ved Blåvandshuk og forventes brugt i 2018</t>
  </si>
  <si>
    <t>Grundet en ekstra opkrævning på vejvandsbidrag i 2017 på 0,7 mio. kr. samt et højere acontobidrag i 2018 i forhold til 2017, er der et samlet merforbrug på vejvandsbidrag på 1,3 mio. kr.</t>
  </si>
  <si>
    <t>De afsatte midler på 0,6 mio. kr. til undersøgelse af kloaknettet ved kommunale institutioner, blev ikke igangsat som planlagt i 2017 på grund af udsættelse af udbudsmateriale.</t>
  </si>
  <si>
    <t>Oprensning af sandfang og udlægning af gydebanker til 0,4 mio. kr. kunne ikke udføres i efteråret 2017 på grunde af de store nedbørsmængder, men er udsat til udførelse i 2018</t>
  </si>
  <si>
    <t>Serviceudgifter</t>
  </si>
  <si>
    <t>Overførselsudgifter og forsikrede ledige</t>
  </si>
  <si>
    <t>Medfinansiering</t>
  </si>
  <si>
    <t>Refusion dyre enkeltsager</t>
  </si>
  <si>
    <t>Drift: (mio. kr.)</t>
  </si>
  <si>
    <t>Overførsel til 2019    i alt (- = negativ overførsel)</t>
  </si>
  <si>
    <t>Ved budgetlægningen for 2018 blev det specialiserede område tilført ekstra midler, der er fordelt i forhold til det forventede forbrug. Der blev endvidere indarbejdet forventede besparelser som følge af arbejdet med masterplan og effektmål, og der pågår et analysearbejde vedrørende optimering af de økonomiske styringsmuligheder. På nuværende tidspunkt forventes der samlet set for det specialiserede område en mindre overskridelse på i alt 2,4 mio. kr.  Det forventede merforbrug fordeler sig således:</t>
  </si>
  <si>
    <t>Anm.: Korrigeret budget er lig med oprindeligt vedtaget budget 2018, da der ikke er givet tillægsbevillinger</t>
  </si>
  <si>
    <t>Generelle reserver, oprindelig budget 10,0 mio.kr - forbrugt 5,8 mio. kr. ifm. med udbud af rengøring. Restbudget på 4,2 mio. kr. forventes tilført kommunekassen ultimo 2018.</t>
  </si>
  <si>
    <t>Drift fordelt på udvalg: (mio. kr.)</t>
  </si>
  <si>
    <t>Økonomi og Erhverv</t>
  </si>
  <si>
    <t>Plan og Teknik</t>
  </si>
  <si>
    <t>Børn og Læring</t>
  </si>
  <si>
    <t>Kultur og Fritid</t>
  </si>
  <si>
    <t>Social og Sundhed</t>
  </si>
  <si>
    <t>Arbejdsmarked og Integration</t>
  </si>
  <si>
    <t>Efterreguleringer af tilskud og udligning (Kommunerne har samlet set hævet skatten i 2018, hvilket medfører en sanktion fra regeringen)</t>
  </si>
  <si>
    <t>Drift fordelt på udgifter               (mio. kr.)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</si>
</sst>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40" x14ac:knownFonts="1">
    <font>
      <sz val="10"/>
      <name val="Arial"/>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i/>
      <sz val="11"/>
      <name val="Arial"/>
      <family val="2"/>
    </font>
    <font>
      <b/>
      <sz val="14"/>
      <color theme="0"/>
      <name val="Arial"/>
      <family val="2"/>
    </font>
    <font>
      <b/>
      <sz val="10"/>
      <color theme="0"/>
      <name val="Arial"/>
      <family val="2"/>
    </font>
    <font>
      <b/>
      <sz val="11"/>
      <color theme="1"/>
      <name val="Arial"/>
      <family val="2"/>
    </font>
    <font>
      <i/>
      <sz val="11"/>
      <name val="Arial"/>
      <family val="2"/>
    </font>
    <font>
      <i/>
      <sz val="11"/>
      <color theme="1"/>
      <name val="Arial"/>
      <family val="2"/>
    </font>
    <font>
      <sz val="10"/>
      <name val="Verdana"/>
      <family val="2"/>
    </font>
    <font>
      <b/>
      <sz val="10"/>
      <name val="Arial"/>
      <family val="2"/>
    </font>
    <font>
      <b/>
      <sz val="9"/>
      <color theme="0"/>
      <name val="Verdana"/>
      <family val="2"/>
    </font>
    <font>
      <b/>
      <sz val="11"/>
      <color theme="0"/>
      <name val="Arial"/>
      <family val="2"/>
    </font>
    <font>
      <b/>
      <sz val="12"/>
      <color theme="0"/>
      <name val="Arial"/>
      <family val="2"/>
    </font>
    <font>
      <i/>
      <sz val="8"/>
      <name val="Verdana"/>
      <family val="2"/>
    </font>
    <font>
      <b/>
      <sz val="10"/>
      <color theme="0"/>
      <name val="Verdana"/>
      <family val="2"/>
    </font>
    <font>
      <b/>
      <sz val="10"/>
      <name val="Verdana"/>
      <family val="2"/>
    </font>
    <font>
      <b/>
      <sz val="11"/>
      <color theme="0"/>
      <name val="Verdana"/>
      <family val="2"/>
    </font>
    <font>
      <sz val="11"/>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7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theme="4" tint="0.59999389629810485"/>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style="thin">
        <color indexed="64"/>
      </left>
      <right style="thin">
        <color indexed="64"/>
      </right>
      <top style="thin">
        <color indexed="64"/>
      </top>
      <bottom style="thin">
        <color theme="4" tint="0.59999389629810485"/>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style="thick">
        <color indexed="64"/>
      </top>
      <bottom style="thin">
        <color indexed="64"/>
      </bottom>
      <diagonal/>
    </border>
    <border>
      <left/>
      <right style="thin">
        <color theme="1"/>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s>
  <cellStyleXfs count="5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6" fillId="20" borderId="11" applyNumberFormat="0" applyFont="0" applyAlignment="0" applyProtection="0"/>
    <xf numFmtId="0" fontId="9" fillId="21" borderId="12" applyNumberFormat="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0" fillId="0" borderId="0" applyNumberFormat="0" applyFill="0" applyBorder="0" applyAlignment="0" applyProtection="0"/>
    <xf numFmtId="0" fontId="11" fillId="28" borderId="0" applyNumberFormat="0" applyBorder="0" applyAlignment="0" applyProtection="0"/>
    <xf numFmtId="0" fontId="12" fillId="29" borderId="12" applyNumberFormat="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0" borderId="13" applyNumberFormat="0" applyAlignment="0" applyProtection="0"/>
    <xf numFmtId="0" fontId="14" fillId="31" borderId="0" applyNumberFormat="0" applyBorder="0" applyAlignment="0" applyProtection="0"/>
    <xf numFmtId="0" fontId="1" fillId="0" borderId="0"/>
    <xf numFmtId="0" fontId="6" fillId="0" borderId="0"/>
    <xf numFmtId="0" fontId="5" fillId="0" borderId="0"/>
    <xf numFmtId="0" fontId="15" fillId="21" borderId="14" applyNumberFormat="0" applyAlignment="0" applyProtection="0"/>
    <xf numFmtId="0" fontId="16" fillId="0" borderId="15" applyNumberFormat="0" applyFill="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0" borderId="0" applyNumberFormat="0" applyFill="0" applyBorder="0" applyAlignment="0" applyProtection="0"/>
    <xf numFmtId="0" fontId="21" fillId="0" borderId="19" applyNumberFormat="0" applyFill="0" applyAlignment="0" applyProtection="0"/>
    <xf numFmtId="0" fontId="22" fillId="32" borderId="0" applyNumberFormat="0" applyBorder="0" applyAlignment="0" applyProtection="0"/>
  </cellStyleXfs>
  <cellXfs count="394">
    <xf numFmtId="0" fontId="0" fillId="0" borderId="0" xfId="0"/>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1" fillId="0" borderId="0" xfId="0" applyFont="1"/>
    <xf numFmtId="0" fontId="3" fillId="0" borderId="0" xfId="0" applyFont="1"/>
    <xf numFmtId="3" fontId="4" fillId="0" borderId="2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0" fillId="0" borderId="0" xfId="0" applyNumberFormat="1"/>
    <xf numFmtId="3" fontId="4" fillId="0" borderId="8" xfId="0" applyNumberFormat="1" applyFont="1" applyBorder="1" applyAlignment="1">
      <alignment horizontal="center" vertical="center"/>
    </xf>
    <xf numFmtId="0" fontId="4" fillId="0" borderId="20" xfId="0" applyFont="1" applyBorder="1" applyAlignment="1">
      <alignment horizontal="left" vertical="center" wrapText="1"/>
    </xf>
    <xf numFmtId="4" fontId="4" fillId="0" borderId="2" xfId="0" applyNumberFormat="1" applyFont="1" applyBorder="1" applyAlignment="1">
      <alignment horizontal="right" vertical="center" wrapText="1"/>
    </xf>
    <xf numFmtId="4" fontId="4" fillId="0" borderId="22" xfId="0" applyNumberFormat="1" applyFont="1" applyBorder="1" applyAlignment="1">
      <alignment horizontal="right" vertical="center" wrapText="1"/>
    </xf>
    <xf numFmtId="4" fontId="4" fillId="0" borderId="21"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8"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0" fontId="23" fillId="36" borderId="25" xfId="49" applyFont="1" applyFill="1" applyBorder="1" applyAlignment="1">
      <alignment vertical="center" wrapText="1"/>
    </xf>
    <xf numFmtId="165" fontId="4" fillId="36" borderId="5" xfId="0" applyNumberFormat="1" applyFont="1" applyFill="1" applyBorder="1" applyAlignment="1">
      <alignment horizontal="right" vertical="center" wrapText="1"/>
    </xf>
    <xf numFmtId="165" fontId="4" fillId="36" borderId="7" xfId="0" applyNumberFormat="1" applyFont="1" applyFill="1" applyBorder="1" applyAlignment="1">
      <alignment horizontal="right" vertical="center" wrapText="1"/>
    </xf>
    <xf numFmtId="0" fontId="4" fillId="0" borderId="28" xfId="49" applyFont="1" applyBorder="1" applyAlignment="1">
      <alignment vertical="center" wrapText="1"/>
    </xf>
    <xf numFmtId="0" fontId="23" fillId="36" borderId="28" xfId="49" applyFont="1" applyFill="1" applyBorder="1" applyAlignment="1">
      <alignment vertical="center" wrapText="1"/>
    </xf>
    <xf numFmtId="4" fontId="4" fillId="36" borderId="4"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8" xfId="0" applyNumberFormat="1" applyFont="1" applyFill="1" applyBorder="1" applyAlignment="1">
      <alignment horizontal="right" vertical="center" wrapText="1"/>
    </xf>
    <xf numFmtId="4" fontId="4" fillId="36"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28" fillId="0" borderId="25" xfId="49" applyFont="1" applyBorder="1" applyAlignment="1">
      <alignment vertical="center" wrapText="1"/>
    </xf>
    <xf numFmtId="0" fontId="28" fillId="0" borderId="26" xfId="49" applyFont="1" applyBorder="1" applyAlignment="1">
      <alignment vertical="center" wrapText="1"/>
    </xf>
    <xf numFmtId="0" fontId="28" fillId="0" borderId="26" xfId="49" applyFont="1" applyBorder="1" applyAlignment="1">
      <alignment vertical="top" wrapText="1"/>
    </xf>
    <xf numFmtId="0" fontId="28" fillId="0" borderId="27" xfId="49" applyFont="1" applyBorder="1" applyAlignment="1">
      <alignment vertical="center" wrapText="1"/>
    </xf>
    <xf numFmtId="0" fontId="29" fillId="0" borderId="27" xfId="49" applyFont="1" applyBorder="1" applyAlignment="1">
      <alignment wrapText="1"/>
    </xf>
    <xf numFmtId="0" fontId="29" fillId="0" borderId="27" xfId="49" applyFont="1" applyBorder="1" applyAlignment="1">
      <alignment vertical="center" wrapText="1"/>
    </xf>
    <xf numFmtId="0" fontId="1" fillId="0" borderId="0" xfId="47"/>
    <xf numFmtId="165" fontId="26" fillId="34" borderId="30" xfId="47" quotePrefix="1" applyNumberFormat="1" applyFont="1" applyFill="1" applyBorder="1" applyAlignment="1">
      <alignment horizontal="center" vertical="center" wrapText="1"/>
    </xf>
    <xf numFmtId="0" fontId="27" fillId="35" borderId="7" xfId="47" applyFont="1" applyFill="1" applyBorder="1" applyAlignment="1">
      <alignment wrapText="1"/>
    </xf>
    <xf numFmtId="165" fontId="27" fillId="35" borderId="5" xfId="47" applyNumberFormat="1" applyFont="1" applyFill="1" applyBorder="1" applyAlignment="1">
      <alignment horizontal="right"/>
    </xf>
    <xf numFmtId="0" fontId="4" fillId="33" borderId="8" xfId="47" applyFont="1" applyFill="1" applyBorder="1" applyAlignment="1">
      <alignment wrapText="1"/>
    </xf>
    <xf numFmtId="165" fontId="4" fillId="33" borderId="2" xfId="47" applyNumberFormat="1" applyFont="1" applyFill="1" applyBorder="1" applyAlignment="1">
      <alignment horizontal="right" wrapText="1"/>
    </xf>
    <xf numFmtId="165" fontId="4" fillId="33" borderId="8" xfId="47" applyNumberFormat="1" applyFont="1" applyFill="1" applyBorder="1" applyAlignment="1">
      <alignment horizontal="right" wrapText="1"/>
    </xf>
    <xf numFmtId="0" fontId="4" fillId="33" borderId="4" xfId="47" applyFont="1" applyFill="1" applyBorder="1" applyAlignment="1">
      <alignment wrapText="1"/>
    </xf>
    <xf numFmtId="0" fontId="28" fillId="0" borderId="8" xfId="47" applyFont="1" applyBorder="1" applyAlignment="1">
      <alignment vertical="center" wrapText="1"/>
    </xf>
    <xf numFmtId="165" fontId="28" fillId="0" borderId="2" xfId="47" applyNumberFormat="1" applyFont="1" applyBorder="1" applyAlignment="1">
      <alignment horizontal="right" vertical="center"/>
    </xf>
    <xf numFmtId="165" fontId="28" fillId="0" borderId="8" xfId="47" applyNumberFormat="1" applyFont="1" applyBorder="1" applyAlignment="1">
      <alignment horizontal="right" vertical="center"/>
    </xf>
    <xf numFmtId="0" fontId="1" fillId="0" borderId="0" xfId="47" applyFont="1"/>
    <xf numFmtId="165" fontId="4" fillId="33" borderId="2" xfId="47" applyNumberFormat="1" applyFont="1" applyFill="1" applyBorder="1" applyAlignment="1">
      <alignment horizontal="right" vertical="center"/>
    </xf>
    <xf numFmtId="165" fontId="4" fillId="33" borderId="8" xfId="47" applyNumberFormat="1" applyFont="1" applyFill="1" applyBorder="1" applyAlignment="1">
      <alignment horizontal="right" vertical="center"/>
    </xf>
    <xf numFmtId="0" fontId="28" fillId="0" borderId="8" xfId="47" applyFont="1" applyBorder="1" applyAlignment="1">
      <alignment horizontal="left" vertical="center" wrapText="1"/>
    </xf>
    <xf numFmtId="0" fontId="27" fillId="35" borderId="8" xfId="47" applyFont="1" applyFill="1" applyBorder="1" applyAlignment="1">
      <alignment wrapText="1"/>
    </xf>
    <xf numFmtId="165" fontId="27" fillId="35" borderId="2" xfId="47" applyNumberFormat="1" applyFont="1" applyFill="1" applyBorder="1" applyAlignment="1">
      <alignment horizontal="right"/>
    </xf>
    <xf numFmtId="165" fontId="27" fillId="35" borderId="8" xfId="47" applyNumberFormat="1" applyFont="1" applyFill="1" applyBorder="1" applyAlignment="1">
      <alignment horizontal="right"/>
    </xf>
    <xf numFmtId="0" fontId="28" fillId="0" borderId="20" xfId="47" applyFont="1" applyBorder="1" applyAlignment="1">
      <alignment vertical="center" wrapText="1"/>
    </xf>
    <xf numFmtId="165" fontId="28" fillId="0" borderId="22" xfId="47" applyNumberFormat="1" applyFont="1" applyBorder="1" applyAlignment="1">
      <alignment horizontal="right" vertical="center"/>
    </xf>
    <xf numFmtId="165" fontId="28" fillId="0" borderId="20" xfId="47" applyNumberFormat="1" applyFont="1" applyBorder="1" applyAlignment="1">
      <alignment horizontal="right" vertical="center"/>
    </xf>
    <xf numFmtId="0" fontId="28" fillId="0" borderId="8" xfId="47" applyFont="1" applyFill="1" applyBorder="1" applyAlignment="1">
      <alignment horizontal="center" wrapText="1"/>
    </xf>
    <xf numFmtId="0" fontId="28" fillId="0" borderId="8" xfId="47" applyFont="1" applyFill="1" applyBorder="1" applyAlignment="1">
      <alignment horizontal="left" wrapText="1"/>
    </xf>
    <xf numFmtId="0" fontId="24" fillId="0" borderId="20" xfId="47" applyFont="1" applyFill="1" applyBorder="1" applyAlignment="1">
      <alignment horizontal="left" wrapText="1"/>
    </xf>
    <xf numFmtId="0" fontId="3" fillId="0" borderId="0" xfId="47" applyFont="1"/>
    <xf numFmtId="165" fontId="4" fillId="0" borderId="5" xfId="47" applyNumberFormat="1" applyFont="1" applyBorder="1" applyAlignment="1">
      <alignment horizontal="center" vertical="center"/>
    </xf>
    <xf numFmtId="165" fontId="4" fillId="0" borderId="7" xfId="47" applyNumberFormat="1" applyFont="1" applyBorder="1" applyAlignment="1">
      <alignment horizontal="center" vertical="center"/>
    </xf>
    <xf numFmtId="0" fontId="1" fillId="0" borderId="0" xfId="47" applyAlignment="1">
      <alignment horizontal="center"/>
    </xf>
    <xf numFmtId="165" fontId="1" fillId="0" borderId="0" xfId="47" applyNumberFormat="1"/>
    <xf numFmtId="165" fontId="1" fillId="0" borderId="0" xfId="47" applyNumberFormat="1" applyAlignment="1">
      <alignment horizontal="center"/>
    </xf>
    <xf numFmtId="3" fontId="1" fillId="0" borderId="0" xfId="47" applyNumberFormat="1"/>
    <xf numFmtId="165" fontId="4" fillId="0" borderId="31" xfId="0" applyNumberFormat="1" applyFont="1" applyBorder="1" applyAlignment="1">
      <alignment horizontal="right" vertical="center" wrapText="1"/>
    </xf>
    <xf numFmtId="165" fontId="2" fillId="0" borderId="35" xfId="0" applyNumberFormat="1" applyFont="1" applyBorder="1" applyAlignment="1">
      <alignment vertical="center"/>
    </xf>
    <xf numFmtId="165" fontId="27" fillId="35" borderId="7" xfId="47" applyNumberFormat="1" applyFont="1" applyFill="1" applyBorder="1" applyAlignment="1">
      <alignment horizontal="right"/>
    </xf>
    <xf numFmtId="165" fontId="1" fillId="0" borderId="0" xfId="47" applyNumberFormat="1" applyFont="1"/>
    <xf numFmtId="165" fontId="4" fillId="0" borderId="2" xfId="47" applyNumberFormat="1" applyFont="1" applyFill="1" applyBorder="1" applyAlignment="1">
      <alignment horizontal="right" vertical="center"/>
    </xf>
    <xf numFmtId="165" fontId="4" fillId="0" borderId="8" xfId="47" applyNumberFormat="1" applyFont="1" applyFill="1" applyBorder="1" applyAlignment="1">
      <alignment horizontal="right" vertical="center"/>
    </xf>
    <xf numFmtId="0" fontId="1" fillId="0" borderId="0" xfId="47" applyFill="1"/>
    <xf numFmtId="165" fontId="4" fillId="0" borderId="9" xfId="47" applyNumberFormat="1" applyFont="1" applyBorder="1" applyAlignment="1">
      <alignment horizontal="center" vertical="center"/>
    </xf>
    <xf numFmtId="0" fontId="27" fillId="35" borderId="5" xfId="47" applyFont="1" applyFill="1" applyBorder="1" applyAlignment="1">
      <alignment wrapText="1"/>
    </xf>
    <xf numFmtId="165" fontId="27" fillId="35" borderId="5" xfId="47" applyNumberFormat="1" applyFont="1" applyFill="1" applyBorder="1" applyAlignment="1">
      <alignment wrapText="1"/>
    </xf>
    <xf numFmtId="166" fontId="27" fillId="35" borderId="5" xfId="47" applyNumberFormat="1" applyFont="1" applyFill="1" applyBorder="1" applyAlignment="1">
      <alignment wrapText="1"/>
    </xf>
    <xf numFmtId="166" fontId="27" fillId="35" borderId="7" xfId="47" applyNumberFormat="1" applyFont="1" applyFill="1" applyBorder="1" applyAlignment="1">
      <alignment wrapText="1"/>
    </xf>
    <xf numFmtId="166" fontId="27" fillId="35" borderId="34" xfId="47" applyNumberFormat="1" applyFont="1" applyFill="1" applyBorder="1" applyAlignment="1">
      <alignment wrapText="1"/>
    </xf>
    <xf numFmtId="165" fontId="27" fillId="35" borderId="6" xfId="47" applyNumberFormat="1" applyFont="1" applyFill="1" applyBorder="1" applyAlignment="1">
      <alignment wrapText="1"/>
    </xf>
    <xf numFmtId="4" fontId="4" fillId="0" borderId="22" xfId="47" applyNumberFormat="1" applyFont="1" applyBorder="1" applyAlignment="1">
      <alignment horizontal="right" vertical="center" wrapText="1"/>
    </xf>
    <xf numFmtId="166" fontId="4" fillId="0" borderId="20" xfId="47" applyNumberFormat="1" applyFont="1" applyBorder="1" applyAlignment="1">
      <alignment horizontal="right" vertical="center" wrapText="1"/>
    </xf>
    <xf numFmtId="166" fontId="4" fillId="0" borderId="32" xfId="47" applyNumberFormat="1" applyFont="1" applyBorder="1" applyAlignment="1">
      <alignment horizontal="right" vertical="center" wrapText="1"/>
    </xf>
    <xf numFmtId="4" fontId="4" fillId="0" borderId="21" xfId="47" applyNumberFormat="1" applyFont="1" applyBorder="1" applyAlignment="1">
      <alignment horizontal="right" vertical="center" wrapText="1"/>
    </xf>
    <xf numFmtId="0" fontId="27" fillId="35" borderId="2" xfId="47" applyFont="1" applyFill="1" applyBorder="1" applyAlignment="1">
      <alignment wrapText="1"/>
    </xf>
    <xf numFmtId="166" fontId="27" fillId="35" borderId="8" xfId="47" applyNumberFormat="1" applyFont="1" applyFill="1" applyBorder="1" applyAlignment="1">
      <alignment wrapText="1"/>
    </xf>
    <xf numFmtId="166" fontId="27" fillId="35" borderId="31" xfId="47" applyNumberFormat="1" applyFont="1" applyFill="1" applyBorder="1" applyAlignment="1">
      <alignment wrapText="1"/>
    </xf>
    <xf numFmtId="165" fontId="27" fillId="35" borderId="4" xfId="47" applyNumberFormat="1" applyFont="1" applyFill="1" applyBorder="1" applyAlignment="1">
      <alignment wrapText="1"/>
    </xf>
    <xf numFmtId="4" fontId="4" fillId="0" borderId="2" xfId="47" applyNumberFormat="1" applyFont="1" applyBorder="1" applyAlignment="1">
      <alignment horizontal="right" vertical="center" wrapText="1"/>
    </xf>
    <xf numFmtId="166" fontId="4" fillId="0" borderId="8" xfId="47" applyNumberFormat="1" applyFont="1" applyBorder="1" applyAlignment="1">
      <alignment horizontal="right" vertical="center" wrapText="1"/>
    </xf>
    <xf numFmtId="166" fontId="4" fillId="0" borderId="31" xfId="47" applyNumberFormat="1" applyFont="1" applyBorder="1" applyAlignment="1">
      <alignment horizontal="right" vertical="center" wrapText="1"/>
    </xf>
    <xf numFmtId="4" fontId="4" fillId="0" borderId="4" xfId="47" applyNumberFormat="1" applyFont="1" applyBorder="1" applyAlignment="1">
      <alignment horizontal="right" vertical="center" wrapText="1"/>
    </xf>
    <xf numFmtId="166" fontId="27" fillId="35" borderId="8" xfId="47" applyNumberFormat="1" applyFont="1" applyFill="1" applyBorder="1" applyAlignment="1">
      <alignment horizontal="right" wrapText="1"/>
    </xf>
    <xf numFmtId="4" fontId="4" fillId="0" borderId="20" xfId="47" applyNumberFormat="1" applyFont="1" applyBorder="1" applyAlignment="1">
      <alignment horizontal="right" vertical="center" wrapText="1"/>
    </xf>
    <xf numFmtId="4" fontId="4" fillId="0" borderId="32" xfId="47" applyNumberFormat="1" applyFont="1" applyBorder="1" applyAlignment="1">
      <alignment horizontal="right" vertical="center" wrapText="1"/>
    </xf>
    <xf numFmtId="3" fontId="4" fillId="0" borderId="9" xfId="47" applyNumberFormat="1" applyFont="1" applyBorder="1" applyAlignment="1">
      <alignment horizontal="center" vertical="center"/>
    </xf>
    <xf numFmtId="3" fontId="4" fillId="0" borderId="3" xfId="47" applyNumberFormat="1" applyFont="1" applyBorder="1" applyAlignment="1">
      <alignment horizontal="center" vertical="center"/>
    </xf>
    <xf numFmtId="165" fontId="4" fillId="0" borderId="33" xfId="47" applyNumberFormat="1" applyFont="1" applyBorder="1" applyAlignment="1">
      <alignment vertical="center"/>
    </xf>
    <xf numFmtId="3" fontId="4" fillId="0" borderId="5" xfId="47" applyNumberFormat="1" applyFont="1" applyBorder="1" applyAlignment="1">
      <alignment horizontal="center" vertical="center"/>
    </xf>
    <xf numFmtId="3" fontId="4" fillId="0" borderId="7" xfId="47" applyNumberFormat="1" applyFont="1" applyBorder="1" applyAlignment="1">
      <alignment horizontal="center" vertical="center"/>
    </xf>
    <xf numFmtId="165" fontId="2" fillId="0" borderId="35" xfId="47" applyNumberFormat="1" applyFont="1" applyBorder="1" applyAlignment="1">
      <alignment vertical="center"/>
    </xf>
    <xf numFmtId="165" fontId="4" fillId="0" borderId="31" xfId="0" applyNumberFormat="1" applyFont="1" applyBorder="1" applyAlignment="1">
      <alignment vertical="center"/>
    </xf>
    <xf numFmtId="0" fontId="4" fillId="33" borderId="2" xfId="47" applyFont="1" applyFill="1" applyBorder="1" applyAlignment="1">
      <alignment wrapText="1"/>
    </xf>
    <xf numFmtId="165" fontId="4" fillId="33" borderId="8" xfId="47" applyNumberFormat="1" applyFont="1" applyFill="1" applyBorder="1" applyAlignment="1">
      <alignment wrapText="1"/>
    </xf>
    <xf numFmtId="165" fontId="4" fillId="33" borderId="2" xfId="47" applyNumberFormat="1" applyFont="1" applyFill="1" applyBorder="1" applyAlignment="1">
      <alignment wrapText="1"/>
    </xf>
    <xf numFmtId="165" fontId="4" fillId="0" borderId="8" xfId="47" applyNumberFormat="1" applyFont="1" applyBorder="1" applyAlignment="1">
      <alignment horizontal="right" vertical="center" wrapText="1"/>
    </xf>
    <xf numFmtId="165" fontId="4" fillId="0" borderId="2" xfId="47" applyNumberFormat="1" applyFont="1" applyBorder="1" applyAlignment="1">
      <alignment horizontal="right" vertical="center" wrapText="1"/>
    </xf>
    <xf numFmtId="0" fontId="4" fillId="0" borderId="22" xfId="47" applyFont="1" applyBorder="1" applyAlignment="1">
      <alignment horizontal="left" vertical="center" wrapText="1"/>
    </xf>
    <xf numFmtId="165" fontId="4" fillId="0" borderId="20" xfId="47" applyNumberFormat="1" applyFont="1" applyBorder="1" applyAlignment="1">
      <alignment horizontal="right" vertical="center" wrapText="1"/>
    </xf>
    <xf numFmtId="165" fontId="4" fillId="0" borderId="22" xfId="47" applyNumberFormat="1" applyFont="1" applyBorder="1" applyAlignment="1">
      <alignment horizontal="right" vertical="center" wrapText="1"/>
    </xf>
    <xf numFmtId="165" fontId="27" fillId="35" borderId="8" xfId="47" applyNumberFormat="1" applyFont="1" applyFill="1" applyBorder="1" applyAlignment="1">
      <alignment wrapText="1"/>
    </xf>
    <xf numFmtId="165" fontId="27" fillId="35" borderId="2" xfId="47" applyNumberFormat="1" applyFont="1" applyFill="1" applyBorder="1" applyAlignment="1">
      <alignment wrapText="1"/>
    </xf>
    <xf numFmtId="0" fontId="4" fillId="0" borderId="2" xfId="47" applyFont="1" applyBorder="1" applyAlignment="1">
      <alignment horizontal="left" vertical="center" wrapText="1"/>
    </xf>
    <xf numFmtId="165" fontId="4" fillId="0" borderId="3" xfId="47" applyNumberFormat="1" applyFont="1" applyBorder="1" applyAlignment="1">
      <alignment horizontal="center" vertical="center"/>
    </xf>
    <xf numFmtId="165" fontId="23" fillId="0" borderId="4" xfId="47" applyNumberFormat="1" applyFont="1" applyBorder="1" applyAlignment="1">
      <alignment vertical="center"/>
    </xf>
    <xf numFmtId="165" fontId="23" fillId="0" borderId="1" xfId="47" applyNumberFormat="1" applyFont="1" applyBorder="1" applyAlignment="1">
      <alignment vertical="center"/>
    </xf>
    <xf numFmtId="165" fontId="2" fillId="0" borderId="3" xfId="47" applyNumberFormat="1" applyFont="1" applyBorder="1" applyAlignment="1">
      <alignment vertical="center"/>
    </xf>
    <xf numFmtId="165" fontId="2" fillId="0" borderId="9" xfId="47" applyNumberFormat="1" applyFont="1" applyBorder="1" applyAlignment="1">
      <alignment vertical="center"/>
    </xf>
    <xf numFmtId="165" fontId="27" fillId="35" borderId="23" xfId="47" applyNumberFormat="1" applyFont="1" applyFill="1" applyBorder="1" applyAlignment="1">
      <alignment wrapText="1"/>
    </xf>
    <xf numFmtId="165" fontId="4" fillId="0" borderId="0" xfId="47" applyNumberFormat="1" applyFont="1" applyBorder="1" applyAlignment="1">
      <alignment horizontal="right" vertical="center" wrapText="1"/>
    </xf>
    <xf numFmtId="165" fontId="4" fillId="0" borderId="0" xfId="47" applyNumberFormat="1" applyFont="1" applyBorder="1" applyAlignment="1">
      <alignment vertical="center" wrapText="1"/>
    </xf>
    <xf numFmtId="165" fontId="4" fillId="0" borderId="24" xfId="47" applyNumberFormat="1" applyFont="1" applyBorder="1" applyAlignment="1">
      <alignment horizontal="right" vertical="center" wrapText="1"/>
    </xf>
    <xf numFmtId="165" fontId="4" fillId="0" borderId="4" xfId="0" applyNumberFormat="1" applyFont="1" applyFill="1" applyBorder="1" applyAlignment="1">
      <alignment horizontal="right" vertical="center" wrapText="1"/>
    </xf>
    <xf numFmtId="165" fontId="4" fillId="0" borderId="1" xfId="0" applyNumberFormat="1" applyFont="1" applyBorder="1" applyAlignment="1">
      <alignment vertical="center"/>
    </xf>
    <xf numFmtId="165" fontId="4" fillId="0" borderId="4" xfId="0" applyNumberFormat="1" applyFont="1" applyBorder="1" applyAlignment="1">
      <alignment vertical="center"/>
    </xf>
    <xf numFmtId="0" fontId="28" fillId="0" borderId="22" xfId="47" applyFont="1" applyBorder="1" applyAlignment="1">
      <alignment horizontal="left" vertical="center" wrapText="1"/>
    </xf>
    <xf numFmtId="0" fontId="28" fillId="0" borderId="2" xfId="47" applyFont="1" applyBorder="1" applyAlignment="1">
      <alignment wrapText="1"/>
    </xf>
    <xf numFmtId="0" fontId="28" fillId="0" borderId="22" xfId="47" applyFont="1" applyBorder="1" applyAlignment="1">
      <alignment vertical="center" wrapText="1"/>
    </xf>
    <xf numFmtId="165" fontId="27" fillId="35" borderId="31" xfId="47" applyNumberFormat="1" applyFont="1" applyFill="1" applyBorder="1" applyAlignment="1">
      <alignment horizontal="right"/>
    </xf>
    <xf numFmtId="165" fontId="23" fillId="33" borderId="31" xfId="47" applyNumberFormat="1" applyFont="1" applyFill="1" applyBorder="1" applyAlignment="1">
      <alignment horizontal="right" wrapText="1"/>
    </xf>
    <xf numFmtId="165" fontId="24" fillId="0" borderId="31" xfId="47" applyNumberFormat="1" applyFont="1" applyBorder="1" applyAlignment="1">
      <alignment horizontal="right" vertical="center"/>
    </xf>
    <xf numFmtId="165" fontId="24" fillId="0" borderId="32" xfId="47" applyNumberFormat="1" applyFont="1" applyBorder="1" applyAlignment="1">
      <alignment horizontal="right" vertical="center"/>
    </xf>
    <xf numFmtId="165" fontId="23" fillId="0" borderId="31" xfId="47" applyNumberFormat="1" applyFont="1" applyFill="1" applyBorder="1" applyAlignment="1">
      <alignment horizontal="right" wrapText="1"/>
    </xf>
    <xf numFmtId="165" fontId="27" fillId="35" borderId="34" xfId="47" applyNumberFormat="1" applyFont="1" applyFill="1" applyBorder="1" applyAlignment="1">
      <alignment horizontal="right" wrapText="1"/>
    </xf>
    <xf numFmtId="165" fontId="23" fillId="0" borderId="31" xfId="47" applyNumberFormat="1" applyFont="1" applyBorder="1" applyAlignment="1">
      <alignment horizontal="right" vertical="center" wrapText="1"/>
    </xf>
    <xf numFmtId="165" fontId="23" fillId="0" borderId="32" xfId="47" applyNumberFormat="1" applyFont="1" applyBorder="1" applyAlignment="1">
      <alignment horizontal="right" vertical="center" wrapText="1"/>
    </xf>
    <xf numFmtId="166" fontId="23" fillId="0" borderId="33" xfId="47" applyNumberFormat="1" applyFont="1" applyBorder="1" applyAlignment="1">
      <alignment horizontal="right" vertical="center"/>
    </xf>
    <xf numFmtId="166" fontId="23" fillId="0" borderId="32" xfId="47" applyNumberFormat="1" applyFont="1" applyBorder="1" applyAlignment="1">
      <alignment horizontal="right" vertical="center"/>
    </xf>
    <xf numFmtId="165" fontId="28" fillId="0" borderId="31" xfId="47" applyNumberFormat="1" applyFont="1" applyBorder="1" applyAlignment="1">
      <alignment horizontal="right" vertical="center"/>
    </xf>
    <xf numFmtId="4" fontId="4" fillId="36" borderId="8" xfId="0" applyNumberFormat="1" applyFont="1" applyFill="1" applyBorder="1" applyAlignment="1">
      <alignment horizontal="right" vertical="center" wrapText="1"/>
    </xf>
    <xf numFmtId="4" fontId="4" fillId="0" borderId="20" xfId="0" applyNumberFormat="1" applyFont="1" applyBorder="1" applyAlignment="1">
      <alignment horizontal="right" vertical="center" wrapText="1"/>
    </xf>
    <xf numFmtId="3" fontId="4" fillId="0" borderId="20" xfId="0" applyNumberFormat="1" applyFont="1" applyBorder="1" applyAlignment="1">
      <alignment horizontal="center" vertical="center"/>
    </xf>
    <xf numFmtId="3" fontId="4" fillId="0" borderId="7" xfId="0" applyNumberFormat="1" applyFont="1" applyBorder="1" applyAlignment="1">
      <alignment horizontal="center" vertical="center"/>
    </xf>
    <xf numFmtId="165" fontId="26" fillId="34" borderId="37" xfId="0" quotePrefix="1" applyNumberFormat="1" applyFont="1" applyFill="1" applyBorder="1" applyAlignment="1">
      <alignment horizontal="center" vertical="center" wrapText="1"/>
    </xf>
    <xf numFmtId="165" fontId="4" fillId="0" borderId="31" xfId="0" applyNumberFormat="1" applyFont="1" applyFill="1" applyBorder="1" applyAlignment="1">
      <alignment horizontal="right" vertical="center" wrapText="1"/>
    </xf>
    <xf numFmtId="4" fontId="4" fillId="0" borderId="32" xfId="0" applyNumberFormat="1" applyFont="1" applyBorder="1" applyAlignment="1">
      <alignment horizontal="right" vertical="center" wrapText="1"/>
    </xf>
    <xf numFmtId="165" fontId="4" fillId="0" borderId="33" xfId="0" applyNumberFormat="1" applyFont="1" applyBorder="1" applyAlignment="1">
      <alignment vertical="center"/>
    </xf>
    <xf numFmtId="165" fontId="4" fillId="0" borderId="32" xfId="0" applyNumberFormat="1" applyFont="1" applyBorder="1" applyAlignment="1">
      <alignment vertical="center"/>
    </xf>
    <xf numFmtId="165" fontId="23" fillId="36" borderId="34" xfId="0" applyNumberFormat="1" applyFont="1" applyFill="1" applyBorder="1" applyAlignment="1">
      <alignment horizontal="right" vertical="center" wrapText="1"/>
    </xf>
    <xf numFmtId="165" fontId="23" fillId="36" borderId="31" xfId="0" applyNumberFormat="1" applyFont="1" applyFill="1" applyBorder="1" applyAlignment="1">
      <alignment horizontal="right" vertical="center" wrapText="1"/>
    </xf>
    <xf numFmtId="165" fontId="27" fillId="35" borderId="7" xfId="47" applyNumberFormat="1" applyFont="1" applyFill="1" applyBorder="1" applyAlignment="1">
      <alignment wrapText="1"/>
    </xf>
    <xf numFmtId="165" fontId="4" fillId="0" borderId="8" xfId="47" applyNumberFormat="1" applyFont="1" applyBorder="1" applyAlignment="1">
      <alignment vertical="center" wrapText="1"/>
    </xf>
    <xf numFmtId="165" fontId="27" fillId="35" borderId="34" xfId="47" applyNumberFormat="1" applyFont="1" applyFill="1" applyBorder="1" applyAlignment="1">
      <alignment wrapText="1"/>
    </xf>
    <xf numFmtId="165" fontId="4" fillId="0" borderId="31" xfId="47" applyNumberFormat="1" applyFont="1" applyBorder="1" applyAlignment="1">
      <alignment horizontal="right" vertical="center" wrapText="1"/>
    </xf>
    <xf numFmtId="165" fontId="4" fillId="0" borderId="31" xfId="47" applyNumberFormat="1" applyFont="1" applyBorder="1" applyAlignment="1">
      <alignment vertical="center" wrapText="1"/>
    </xf>
    <xf numFmtId="165" fontId="4" fillId="0" borderId="32" xfId="47" applyNumberFormat="1" applyFont="1" applyBorder="1" applyAlignment="1">
      <alignment horizontal="right" vertical="center" wrapText="1"/>
    </xf>
    <xf numFmtId="165" fontId="4" fillId="0" borderId="32" xfId="47" applyNumberFormat="1" applyFont="1" applyBorder="1" applyAlignment="1">
      <alignment vertical="center"/>
    </xf>
    <xf numFmtId="166" fontId="28" fillId="0" borderId="31" xfId="47" applyNumberFormat="1" applyFont="1" applyBorder="1" applyAlignment="1">
      <alignment horizontal="right" vertical="center" wrapText="1"/>
    </xf>
    <xf numFmtId="166" fontId="4" fillId="33" borderId="4" xfId="47" applyNumberFormat="1" applyFont="1" applyFill="1" applyBorder="1" applyAlignment="1">
      <alignment wrapText="1"/>
    </xf>
    <xf numFmtId="165" fontId="4" fillId="36" borderId="4" xfId="0" applyNumberFormat="1" applyFont="1" applyFill="1" applyBorder="1" applyAlignment="1">
      <alignment horizontal="right" vertical="center" wrapText="1"/>
    </xf>
    <xf numFmtId="0" fontId="23" fillId="33" borderId="8" xfId="0" applyFont="1" applyFill="1" applyBorder="1" applyAlignment="1">
      <alignment horizontal="left" vertical="center" wrapText="1"/>
    </xf>
    <xf numFmtId="165" fontId="23" fillId="33" borderId="2" xfId="0" applyNumberFormat="1" applyFont="1" applyFill="1" applyBorder="1" applyAlignment="1">
      <alignment horizontal="right" vertical="center" wrapText="1"/>
    </xf>
    <xf numFmtId="165" fontId="4" fillId="33" borderId="2" xfId="0" applyNumberFormat="1" applyFont="1" applyFill="1" applyBorder="1" applyAlignment="1">
      <alignment horizontal="right" vertical="center" wrapText="1"/>
    </xf>
    <xf numFmtId="0" fontId="4" fillId="33" borderId="28" xfId="49" applyFont="1" applyFill="1" applyBorder="1" applyAlignment="1">
      <alignment vertical="center" wrapText="1"/>
    </xf>
    <xf numFmtId="165" fontId="4" fillId="33" borderId="8" xfId="0" applyNumberFormat="1" applyFont="1" applyFill="1" applyBorder="1" applyAlignment="1">
      <alignment horizontal="right" vertical="center" wrapText="1"/>
    </xf>
    <xf numFmtId="165" fontId="23" fillId="33" borderId="31" xfId="0" applyNumberFormat="1" applyFont="1" applyFill="1" applyBorder="1" applyAlignment="1">
      <alignment horizontal="right" vertical="center" wrapText="1"/>
    </xf>
    <xf numFmtId="165" fontId="4" fillId="33" borderId="4" xfId="0" applyNumberFormat="1" applyFont="1" applyFill="1" applyBorder="1" applyAlignment="1">
      <alignment horizontal="right" vertical="center" wrapText="1"/>
    </xf>
    <xf numFmtId="0" fontId="4" fillId="33" borderId="2" xfId="49" applyFont="1" applyFill="1" applyBorder="1" applyAlignment="1">
      <alignment vertical="center" wrapText="1"/>
    </xf>
    <xf numFmtId="166" fontId="4" fillId="33" borderId="28" xfId="49" applyNumberFormat="1" applyFont="1" applyFill="1" applyBorder="1" applyAlignment="1">
      <alignment vertical="center" wrapText="1"/>
    </xf>
    <xf numFmtId="0" fontId="4" fillId="33" borderId="29" xfId="49" applyFont="1" applyFill="1" applyBorder="1" applyAlignment="1">
      <alignment vertical="center" wrapText="1"/>
    </xf>
    <xf numFmtId="165" fontId="4" fillId="33" borderId="31" xfId="0" applyNumberFormat="1" applyFont="1" applyFill="1" applyBorder="1" applyAlignment="1">
      <alignment horizontal="right" vertical="center" wrapText="1"/>
    </xf>
    <xf numFmtId="4" fontId="4" fillId="0" borderId="41" xfId="47" applyNumberFormat="1" applyFont="1" applyBorder="1" applyAlignment="1">
      <alignment horizontal="right" vertical="center" wrapText="1"/>
    </xf>
    <xf numFmtId="166" fontId="28" fillId="0" borderId="42" xfId="47" applyNumberFormat="1" applyFont="1" applyBorder="1" applyAlignment="1">
      <alignment horizontal="right" vertical="center" wrapText="1"/>
    </xf>
    <xf numFmtId="0" fontId="28" fillId="0" borderId="43" xfId="47" applyFont="1" applyBorder="1" applyAlignment="1">
      <alignment horizontal="left" vertical="center" wrapText="1"/>
    </xf>
    <xf numFmtId="4" fontId="4" fillId="0" borderId="43" xfId="47" applyNumberFormat="1" applyFont="1" applyBorder="1" applyAlignment="1">
      <alignment horizontal="right" vertical="center" wrapText="1"/>
    </xf>
    <xf numFmtId="166" fontId="4" fillId="0" borderId="44" xfId="47" applyNumberFormat="1" applyFont="1" applyBorder="1" applyAlignment="1">
      <alignment horizontal="right" vertical="center" wrapText="1"/>
    </xf>
    <xf numFmtId="0" fontId="28" fillId="0" borderId="45" xfId="47" applyFont="1" applyBorder="1" applyAlignment="1">
      <alignment horizontal="left" vertical="center" wrapText="1"/>
    </xf>
    <xf numFmtId="4" fontId="4" fillId="0" borderId="45" xfId="47" applyNumberFormat="1" applyFont="1" applyBorder="1" applyAlignment="1">
      <alignment horizontal="right" vertical="center" wrapText="1"/>
    </xf>
    <xf numFmtId="166" fontId="4" fillId="0" borderId="46" xfId="47" applyNumberFormat="1" applyFont="1" applyBorder="1" applyAlignment="1">
      <alignment horizontal="right" vertical="center" wrapText="1"/>
    </xf>
    <xf numFmtId="166" fontId="28" fillId="0" borderId="47" xfId="47" applyNumberFormat="1" applyFont="1" applyBorder="1" applyAlignment="1">
      <alignment horizontal="right" vertical="center" wrapText="1"/>
    </xf>
    <xf numFmtId="4" fontId="4" fillId="0" borderId="48" xfId="47" applyNumberFormat="1" applyFont="1" applyBorder="1" applyAlignment="1">
      <alignment horizontal="right" vertical="center" wrapText="1"/>
    </xf>
    <xf numFmtId="0" fontId="28" fillId="0" borderId="43" xfId="47" applyFont="1" applyBorder="1" applyAlignment="1">
      <alignment vertical="center" wrapText="1"/>
    </xf>
    <xf numFmtId="4" fontId="4" fillId="0" borderId="49" xfId="47" applyNumberFormat="1" applyFont="1" applyBorder="1" applyAlignment="1">
      <alignment horizontal="right" vertical="center" wrapText="1"/>
    </xf>
    <xf numFmtId="0" fontId="28" fillId="0" borderId="44" xfId="47" applyFont="1" applyBorder="1" applyAlignment="1">
      <alignment vertical="center" wrapText="1"/>
    </xf>
    <xf numFmtId="165" fontId="28" fillId="0" borderId="43" xfId="47" applyNumberFormat="1" applyFont="1" applyBorder="1" applyAlignment="1">
      <alignment horizontal="right" vertical="center"/>
    </xf>
    <xf numFmtId="165" fontId="28" fillId="0" borderId="44" xfId="47" applyNumberFormat="1" applyFont="1" applyBorder="1" applyAlignment="1">
      <alignment horizontal="right" vertical="center"/>
    </xf>
    <xf numFmtId="165" fontId="28" fillId="0" borderId="42" xfId="47" applyNumberFormat="1" applyFont="1" applyBorder="1" applyAlignment="1">
      <alignment horizontal="right" vertical="center"/>
    </xf>
    <xf numFmtId="0" fontId="28" fillId="0" borderId="46" xfId="47" applyFont="1" applyBorder="1" applyAlignment="1">
      <alignment vertical="center" wrapText="1"/>
    </xf>
    <xf numFmtId="165" fontId="28" fillId="0" borderId="45" xfId="47" applyNumberFormat="1" applyFont="1" applyBorder="1" applyAlignment="1">
      <alignment horizontal="right" vertical="center"/>
    </xf>
    <xf numFmtId="165" fontId="28" fillId="0" borderId="46" xfId="47" applyNumberFormat="1" applyFont="1" applyBorder="1" applyAlignment="1">
      <alignment horizontal="right" vertical="center"/>
    </xf>
    <xf numFmtId="165" fontId="28" fillId="0" borderId="47" xfId="47" applyNumberFormat="1" applyFont="1" applyBorder="1" applyAlignment="1">
      <alignment horizontal="right" vertical="center"/>
    </xf>
    <xf numFmtId="0" fontId="28" fillId="0" borderId="44" xfId="47" applyFont="1" applyFill="1" applyBorder="1" applyAlignment="1">
      <alignment horizontal="left" wrapText="1"/>
    </xf>
    <xf numFmtId="0" fontId="4" fillId="0" borderId="43" xfId="47" applyFont="1" applyBorder="1" applyAlignment="1">
      <alignment horizontal="left" vertical="center" wrapText="1"/>
    </xf>
    <xf numFmtId="165" fontId="4" fillId="0" borderId="43" xfId="47" applyNumberFormat="1" applyFont="1" applyBorder="1" applyAlignment="1">
      <alignment horizontal="right" vertical="center" wrapText="1"/>
    </xf>
    <xf numFmtId="165" fontId="4" fillId="0" borderId="44" xfId="47" applyNumberFormat="1" applyFont="1" applyBorder="1" applyAlignment="1">
      <alignment horizontal="right" vertical="center" wrapText="1"/>
    </xf>
    <xf numFmtId="165" fontId="23" fillId="0" borderId="42" xfId="47" applyNumberFormat="1" applyFont="1" applyBorder="1" applyAlignment="1">
      <alignment horizontal="right" vertical="center" wrapText="1"/>
    </xf>
    <xf numFmtId="0" fontId="4" fillId="0" borderId="45" xfId="47" applyFont="1" applyBorder="1" applyAlignment="1">
      <alignment horizontal="left" vertical="center" wrapText="1"/>
    </xf>
    <xf numFmtId="165" fontId="4" fillId="0" borderId="45" xfId="47" applyNumberFormat="1" applyFont="1" applyBorder="1" applyAlignment="1">
      <alignment horizontal="right" vertical="center" wrapText="1"/>
    </xf>
    <xf numFmtId="165" fontId="4" fillId="0" borderId="46" xfId="47" applyNumberFormat="1" applyFont="1" applyBorder="1" applyAlignment="1">
      <alignment horizontal="right" vertical="center" wrapText="1"/>
    </xf>
    <xf numFmtId="165" fontId="23" fillId="0" borderId="47" xfId="47" applyNumberFormat="1" applyFont="1" applyBorder="1" applyAlignment="1">
      <alignment horizontal="right" vertical="center" wrapText="1"/>
    </xf>
    <xf numFmtId="0" fontId="28" fillId="0" borderId="50" xfId="49" applyFont="1" applyBorder="1" applyAlignment="1">
      <alignment vertical="center" wrapText="1"/>
    </xf>
    <xf numFmtId="4" fontId="4" fillId="0" borderId="43" xfId="0" applyNumberFormat="1" applyFont="1" applyFill="1" applyBorder="1" applyAlignment="1">
      <alignment horizontal="right" vertical="center" wrapText="1"/>
    </xf>
    <xf numFmtId="165" fontId="4" fillId="0" borderId="44" xfId="0" applyNumberFormat="1" applyFont="1" applyFill="1" applyBorder="1" applyAlignment="1">
      <alignment horizontal="right" vertical="center" wrapText="1"/>
    </xf>
    <xf numFmtId="165" fontId="4" fillId="0" borderId="42" xfId="0" applyNumberFormat="1" applyFont="1" applyFill="1" applyBorder="1" applyAlignment="1">
      <alignment horizontal="right" vertical="center" wrapText="1"/>
    </xf>
    <xf numFmtId="165" fontId="4" fillId="0" borderId="49" xfId="0" applyNumberFormat="1" applyFont="1" applyFill="1" applyBorder="1" applyAlignment="1">
      <alignment horizontal="right" vertical="center" wrapText="1"/>
    </xf>
    <xf numFmtId="0" fontId="28" fillId="0" borderId="45" xfId="49" applyFont="1" applyBorder="1" applyAlignment="1">
      <alignment vertical="top" wrapText="1"/>
    </xf>
    <xf numFmtId="4" fontId="4" fillId="0" borderId="45" xfId="0" applyNumberFormat="1" applyFont="1" applyFill="1" applyBorder="1" applyAlignment="1">
      <alignment horizontal="right" vertical="center" wrapText="1"/>
    </xf>
    <xf numFmtId="165" fontId="4" fillId="0" borderId="46" xfId="0" applyNumberFormat="1" applyFont="1" applyFill="1" applyBorder="1" applyAlignment="1">
      <alignment horizontal="right" vertical="center" wrapText="1"/>
    </xf>
    <xf numFmtId="165" fontId="4" fillId="0" borderId="47" xfId="0" applyNumberFormat="1" applyFont="1" applyFill="1" applyBorder="1" applyAlignment="1">
      <alignment horizontal="right" vertical="center" wrapText="1"/>
    </xf>
    <xf numFmtId="165" fontId="4" fillId="0" borderId="48" xfId="0" applyNumberFormat="1" applyFont="1" applyFill="1" applyBorder="1" applyAlignment="1">
      <alignment horizontal="right" vertical="center" wrapText="1"/>
    </xf>
    <xf numFmtId="0" fontId="28" fillId="0" borderId="45" xfId="49" applyFont="1" applyBorder="1" applyAlignment="1">
      <alignment vertical="center" wrapText="1"/>
    </xf>
    <xf numFmtId="165" fontId="4" fillId="0" borderId="51" xfId="47" applyNumberFormat="1" applyFont="1" applyBorder="1" applyAlignment="1">
      <alignment horizontal="right" vertical="center" wrapText="1"/>
    </xf>
    <xf numFmtId="165" fontId="4" fillId="0" borderId="42" xfId="47" applyNumberFormat="1" applyFont="1" applyBorder="1" applyAlignment="1">
      <alignment horizontal="right" vertical="center" wrapText="1"/>
    </xf>
    <xf numFmtId="165" fontId="4" fillId="0" borderId="52" xfId="47" applyNumberFormat="1" applyFont="1" applyBorder="1" applyAlignment="1">
      <alignment horizontal="right" vertical="center" wrapText="1"/>
    </xf>
    <xf numFmtId="165" fontId="4" fillId="0" borderId="47" xfId="47" applyNumberFormat="1" applyFont="1" applyBorder="1" applyAlignment="1">
      <alignment horizontal="right" vertical="center" wrapText="1"/>
    </xf>
    <xf numFmtId="0" fontId="31" fillId="0" borderId="0" xfId="47" applyFont="1" applyAlignment="1">
      <alignment horizontal="left"/>
    </xf>
    <xf numFmtId="165" fontId="4" fillId="33" borderId="4" xfId="47" applyNumberFormat="1" applyFont="1" applyFill="1" applyBorder="1" applyAlignment="1">
      <alignment wrapText="1"/>
    </xf>
    <xf numFmtId="165" fontId="4" fillId="36" borderId="31" xfId="0" applyNumberFormat="1" applyFont="1" applyFill="1" applyBorder="1" applyAlignment="1">
      <alignment horizontal="right" vertical="center" wrapText="1"/>
    </xf>
    <xf numFmtId="165" fontId="23" fillId="33" borderId="8" xfId="0" applyNumberFormat="1" applyFont="1" applyFill="1" applyBorder="1" applyAlignment="1">
      <alignment horizontal="right" vertical="center" wrapText="1"/>
    </xf>
    <xf numFmtId="4" fontId="4" fillId="0" borderId="8" xfId="0" applyNumberFormat="1" applyFont="1" applyBorder="1" applyAlignment="1">
      <alignment horizontal="right" vertical="center" wrapText="1"/>
    </xf>
    <xf numFmtId="4" fontId="4" fillId="0" borderId="31" xfId="0" applyNumberFormat="1" applyFont="1" applyBorder="1" applyAlignment="1">
      <alignment horizontal="right" vertical="center" wrapText="1"/>
    </xf>
    <xf numFmtId="165" fontId="2" fillId="0" borderId="3" xfId="0" applyNumberFormat="1" applyFont="1" applyBorder="1" applyAlignment="1">
      <alignment vertical="center"/>
    </xf>
    <xf numFmtId="165" fontId="2" fillId="0" borderId="9" xfId="0" applyNumberFormat="1" applyFont="1" applyBorder="1" applyAlignment="1">
      <alignment vertical="center"/>
    </xf>
    <xf numFmtId="165" fontId="4" fillId="36" borderId="40" xfId="0" applyNumberFormat="1" applyFont="1" applyFill="1" applyBorder="1" applyAlignment="1">
      <alignment horizontal="right" vertical="center" wrapText="1"/>
    </xf>
    <xf numFmtId="165" fontId="2" fillId="0" borderId="39" xfId="0" applyNumberFormat="1" applyFont="1" applyBorder="1" applyAlignment="1">
      <alignment vertical="center"/>
    </xf>
    <xf numFmtId="165" fontId="27" fillId="35" borderId="6" xfId="47" applyNumberFormat="1" applyFont="1" applyFill="1" applyBorder="1" applyAlignment="1">
      <alignment horizontal="right"/>
    </xf>
    <xf numFmtId="165" fontId="4" fillId="0" borderId="49" xfId="47" applyNumberFormat="1" applyFont="1" applyBorder="1" applyAlignment="1">
      <alignment horizontal="center" vertical="center"/>
    </xf>
    <xf numFmtId="165" fontId="4" fillId="0" borderId="48" xfId="47" applyNumberFormat="1" applyFont="1" applyBorder="1" applyAlignment="1">
      <alignment horizontal="center" vertical="center"/>
    </xf>
    <xf numFmtId="165" fontId="4" fillId="0" borderId="4" xfId="47" applyNumberFormat="1" applyFont="1" applyBorder="1" applyAlignment="1">
      <alignment horizontal="center" vertical="center"/>
    </xf>
    <xf numFmtId="165" fontId="27" fillId="35" borderId="4" xfId="47" applyNumberFormat="1" applyFont="1" applyFill="1" applyBorder="1" applyAlignment="1">
      <alignment horizontal="right"/>
    </xf>
    <xf numFmtId="165" fontId="4" fillId="0" borderId="21" xfId="47" applyNumberFormat="1" applyFont="1" applyBorder="1" applyAlignment="1">
      <alignment horizontal="center" vertical="center"/>
    </xf>
    <xf numFmtId="165" fontId="28" fillId="0" borderId="4" xfId="47" applyNumberFormat="1" applyFont="1" applyBorder="1" applyAlignment="1">
      <alignment horizontal="center" vertical="center"/>
    </xf>
    <xf numFmtId="165" fontId="28" fillId="0" borderId="49" xfId="47" applyNumberFormat="1" applyFont="1" applyBorder="1" applyAlignment="1">
      <alignment horizontal="center" vertical="center"/>
    </xf>
    <xf numFmtId="165" fontId="28" fillId="0" borderId="21" xfId="47" applyNumberFormat="1" applyFont="1" applyBorder="1" applyAlignment="1">
      <alignment horizontal="center" vertical="center"/>
    </xf>
    <xf numFmtId="165" fontId="4" fillId="0" borderId="4" xfId="47" applyNumberFormat="1" applyFont="1" applyFill="1" applyBorder="1" applyAlignment="1">
      <alignment wrapText="1"/>
    </xf>
    <xf numFmtId="165" fontId="2" fillId="0" borderId="1" xfId="47" applyNumberFormat="1" applyFont="1" applyBorder="1" applyAlignment="1">
      <alignment vertical="center"/>
    </xf>
    <xf numFmtId="0" fontId="1" fillId="0" borderId="23" xfId="47" applyBorder="1" applyAlignment="1">
      <alignment horizontal="center"/>
    </xf>
    <xf numFmtId="165" fontId="1" fillId="0" borderId="23" xfId="47" applyNumberFormat="1" applyBorder="1"/>
    <xf numFmtId="165" fontId="1" fillId="0" borderId="23" xfId="47" applyNumberFormat="1" applyBorder="1" applyAlignment="1">
      <alignment horizontal="center"/>
    </xf>
    <xf numFmtId="165" fontId="2" fillId="0" borderId="1" xfId="47" applyNumberFormat="1" applyFont="1" applyBorder="1" applyAlignment="1">
      <alignment horizontal="right" vertical="center"/>
    </xf>
    <xf numFmtId="165" fontId="1" fillId="0" borderId="0" xfId="47" applyNumberFormat="1" applyBorder="1"/>
    <xf numFmtId="165" fontId="2" fillId="0" borderId="35" xfId="47" applyNumberFormat="1" applyFont="1" applyBorder="1" applyAlignment="1">
      <alignment horizontal="right" vertical="center"/>
    </xf>
    <xf numFmtId="165" fontId="26" fillId="34" borderId="55" xfId="47" quotePrefix="1" applyNumberFormat="1" applyFont="1" applyFill="1" applyBorder="1" applyAlignment="1">
      <alignment horizontal="center" vertical="center" wrapText="1"/>
    </xf>
    <xf numFmtId="165" fontId="23" fillId="33" borderId="54" xfId="0" applyNumberFormat="1" applyFont="1" applyFill="1" applyBorder="1" applyAlignment="1">
      <alignment horizontal="right" vertical="center" wrapText="1"/>
    </xf>
    <xf numFmtId="165" fontId="4" fillId="0" borderId="54" xfId="0" applyNumberFormat="1" applyFont="1" applyBorder="1" applyAlignment="1">
      <alignment horizontal="right" vertical="center" wrapText="1"/>
    </xf>
    <xf numFmtId="4" fontId="4" fillId="0" borderId="54" xfId="0" applyNumberFormat="1" applyFont="1" applyBorder="1" applyAlignment="1">
      <alignment horizontal="right" vertical="center" wrapText="1"/>
    </xf>
    <xf numFmtId="4" fontId="4" fillId="0" borderId="56" xfId="0" applyNumberFormat="1" applyFont="1" applyBorder="1" applyAlignment="1">
      <alignment horizontal="right" vertical="center" wrapText="1"/>
    </xf>
    <xf numFmtId="165" fontId="2" fillId="0" borderId="53" xfId="0" applyNumberFormat="1" applyFont="1" applyBorder="1" applyAlignment="1">
      <alignment vertical="center"/>
    </xf>
    <xf numFmtId="0" fontId="4" fillId="0" borderId="2" xfId="0" applyFont="1" applyBorder="1" applyAlignment="1">
      <alignment horizontal="left" vertical="center" wrapText="1"/>
    </xf>
    <xf numFmtId="0" fontId="30" fillId="0" borderId="2" xfId="0" applyFont="1" applyBorder="1" applyAlignment="1">
      <alignment vertical="center" wrapText="1"/>
    </xf>
    <xf numFmtId="0" fontId="4" fillId="0" borderId="22" xfId="0" applyFont="1" applyBorder="1" applyAlignment="1">
      <alignment horizontal="left" vertical="center" wrapText="1"/>
    </xf>
    <xf numFmtId="165" fontId="4" fillId="0" borderId="56" xfId="0" applyNumberFormat="1" applyFont="1" applyBorder="1" applyAlignment="1">
      <alignment vertical="center"/>
    </xf>
    <xf numFmtId="165" fontId="4" fillId="0" borderId="54" xfId="0" applyNumberFormat="1" applyFont="1" applyBorder="1" applyAlignment="1">
      <alignment vertical="center"/>
    </xf>
    <xf numFmtId="4" fontId="0" fillId="0" borderId="0" xfId="0" applyNumberFormat="1"/>
    <xf numFmtId="165" fontId="1" fillId="0" borderId="0" xfId="0" applyNumberFormat="1" applyFont="1"/>
    <xf numFmtId="166" fontId="1" fillId="0" borderId="0" xfId="47" applyNumberFormat="1"/>
    <xf numFmtId="166" fontId="4" fillId="0" borderId="1" xfId="47" applyNumberFormat="1" applyFont="1" applyBorder="1" applyAlignment="1">
      <alignment horizontal="right" vertical="center"/>
    </xf>
    <xf numFmtId="166" fontId="4" fillId="0" borderId="6" xfId="47" applyNumberFormat="1" applyFont="1" applyBorder="1" applyAlignment="1">
      <alignment horizontal="right" vertical="center"/>
    </xf>
    <xf numFmtId="165" fontId="2" fillId="0" borderId="57" xfId="47" applyNumberFormat="1" applyFont="1" applyBorder="1" applyAlignment="1">
      <alignment vertical="center"/>
    </xf>
    <xf numFmtId="165" fontId="2" fillId="0" borderId="39" xfId="47" applyNumberFormat="1" applyFont="1" applyBorder="1" applyAlignment="1">
      <alignment vertical="center"/>
    </xf>
    <xf numFmtId="165" fontId="23" fillId="0" borderId="33" xfId="47" applyNumberFormat="1" applyFont="1" applyBorder="1" applyAlignment="1">
      <alignment horizontal="right" vertical="center"/>
    </xf>
    <xf numFmtId="165" fontId="4" fillId="0" borderId="1" xfId="47" applyNumberFormat="1" applyFont="1" applyBorder="1" applyAlignment="1">
      <alignment horizontal="right" vertical="center"/>
    </xf>
    <xf numFmtId="165" fontId="23" fillId="0" borderId="34" xfId="47" applyNumberFormat="1" applyFont="1" applyBorder="1" applyAlignment="1">
      <alignment horizontal="right" vertical="center"/>
    </xf>
    <xf numFmtId="165" fontId="4" fillId="0" borderId="6" xfId="47" applyNumberFormat="1" applyFont="1" applyBorder="1" applyAlignment="1">
      <alignment horizontal="right" vertical="center"/>
    </xf>
    <xf numFmtId="165" fontId="26" fillId="34" borderId="1" xfId="47" quotePrefix="1" applyNumberFormat="1" applyFont="1" applyFill="1" applyBorder="1" applyAlignment="1">
      <alignment horizontal="center" vertical="center" wrapText="1"/>
    </xf>
    <xf numFmtId="165" fontId="26" fillId="34" borderId="6" xfId="0" quotePrefix="1" applyNumberFormat="1" applyFont="1" applyFill="1" applyBorder="1" applyAlignment="1">
      <alignment horizontal="center" vertical="center" wrapText="1"/>
    </xf>
    <xf numFmtId="165" fontId="26" fillId="34" borderId="37" xfId="47" quotePrefix="1" applyNumberFormat="1" applyFont="1" applyFill="1" applyBorder="1" applyAlignment="1">
      <alignment horizontal="center" vertical="center" wrapText="1"/>
    </xf>
    <xf numFmtId="0" fontId="4" fillId="0" borderId="3" xfId="47" applyFont="1" applyBorder="1" applyAlignment="1">
      <alignment horizontal="left" vertical="center" wrapText="1"/>
    </xf>
    <xf numFmtId="0" fontId="23" fillId="0" borderId="3" xfId="47" applyFont="1" applyBorder="1" applyAlignment="1">
      <alignment horizontal="left" vertical="center"/>
    </xf>
    <xf numFmtId="0" fontId="28" fillId="0" borderId="2" xfId="47" applyFont="1" applyBorder="1" applyAlignment="1">
      <alignment vertical="center" wrapText="1"/>
    </xf>
    <xf numFmtId="165" fontId="33" fillId="34" borderId="30" xfId="47" quotePrefix="1" applyNumberFormat="1" applyFont="1" applyFill="1" applyBorder="1" applyAlignment="1">
      <alignment horizontal="center" vertical="center" wrapText="1"/>
    </xf>
    <xf numFmtId="165" fontId="33" fillId="34" borderId="33" xfId="47" quotePrefix="1" applyNumberFormat="1" applyFont="1" applyFill="1" applyBorder="1" applyAlignment="1">
      <alignment horizontal="center" vertical="center" wrapText="1"/>
    </xf>
    <xf numFmtId="0" fontId="4" fillId="0" borderId="66" xfId="0" applyFont="1" applyBorder="1" applyAlignment="1">
      <alignment horizontal="left" vertical="center" wrapText="1"/>
    </xf>
    <xf numFmtId="165" fontId="4" fillId="0" borderId="3"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165" fontId="4" fillId="0" borderId="33" xfId="0" applyNumberFormat="1" applyFont="1" applyBorder="1" applyAlignment="1">
      <alignment horizontal="right" vertical="center" wrapText="1"/>
    </xf>
    <xf numFmtId="0" fontId="4" fillId="0" borderId="67" xfId="0" applyFont="1" applyBorder="1" applyAlignment="1">
      <alignment horizontal="left" vertical="center" wrapText="1"/>
    </xf>
    <xf numFmtId="165" fontId="4" fillId="0" borderId="62" xfId="0" applyNumberFormat="1" applyFont="1" applyBorder="1" applyAlignment="1">
      <alignment horizontal="right" vertical="center" wrapText="1"/>
    </xf>
    <xf numFmtId="165" fontId="4" fillId="0" borderId="63" xfId="0" applyNumberFormat="1" applyFont="1" applyBorder="1" applyAlignment="1">
      <alignment horizontal="right" vertical="center" wrapText="1"/>
    </xf>
    <xf numFmtId="165" fontId="4" fillId="0" borderId="35" xfId="0" applyNumberFormat="1" applyFont="1" applyBorder="1" applyAlignment="1">
      <alignment horizontal="right" vertical="center" wrapText="1"/>
    </xf>
    <xf numFmtId="0" fontId="23" fillId="0" borderId="61" xfId="0" applyFont="1" applyBorder="1" applyAlignment="1">
      <alignment horizontal="left" vertical="center" wrapText="1"/>
    </xf>
    <xf numFmtId="165" fontId="23" fillId="0" borderId="58" xfId="0" applyNumberFormat="1" applyFont="1" applyBorder="1" applyAlignment="1">
      <alignment horizontal="right" vertical="center" wrapText="1"/>
    </xf>
    <xf numFmtId="165" fontId="23" fillId="0" borderId="59" xfId="0" applyNumberFormat="1" applyFont="1" applyBorder="1" applyAlignment="1">
      <alignment horizontal="right" vertical="center" wrapText="1"/>
    </xf>
    <xf numFmtId="165" fontId="23" fillId="0" borderId="60" xfId="0" applyNumberFormat="1" applyFont="1" applyBorder="1" applyAlignment="1">
      <alignment horizontal="right" vertical="center" wrapText="1"/>
    </xf>
    <xf numFmtId="0" fontId="4" fillId="0" borderId="68" xfId="0" applyFont="1" applyBorder="1" applyAlignment="1">
      <alignment horizontal="left" vertical="center" wrapText="1"/>
    </xf>
    <xf numFmtId="165" fontId="4" fillId="0" borderId="69" xfId="0" applyNumberFormat="1" applyFont="1" applyBorder="1" applyAlignment="1">
      <alignment horizontal="right" vertical="center" wrapText="1"/>
    </xf>
    <xf numFmtId="0" fontId="4" fillId="0" borderId="65" xfId="0" applyFont="1" applyBorder="1" applyAlignment="1">
      <alignment horizontal="left" vertical="center" wrapText="1"/>
    </xf>
    <xf numFmtId="165" fontId="4" fillId="0" borderId="20" xfId="0" applyNumberFormat="1" applyFont="1" applyBorder="1" applyAlignment="1">
      <alignment horizontal="right" vertical="center" wrapText="1"/>
    </xf>
    <xf numFmtId="165" fontId="4" fillId="0" borderId="22" xfId="0" applyNumberFormat="1" applyFont="1" applyBorder="1" applyAlignment="1">
      <alignment horizontal="right" vertical="center" wrapText="1"/>
    </xf>
    <xf numFmtId="165" fontId="4" fillId="0" borderId="32" xfId="0" applyNumberFormat="1" applyFont="1" applyBorder="1" applyAlignment="1">
      <alignment horizontal="right" vertical="center" wrapText="1"/>
    </xf>
    <xf numFmtId="165" fontId="4" fillId="0" borderId="70" xfId="0" applyNumberFormat="1" applyFont="1" applyBorder="1" applyAlignment="1">
      <alignment horizontal="right" vertical="center" wrapText="1"/>
    </xf>
    <xf numFmtId="165" fontId="4" fillId="0" borderId="71" xfId="0" applyNumberFormat="1" applyFont="1" applyBorder="1" applyAlignment="1">
      <alignment horizontal="right" vertical="center" wrapText="1"/>
    </xf>
    <xf numFmtId="0" fontId="4" fillId="0" borderId="38" xfId="0" applyFont="1" applyBorder="1" applyAlignment="1">
      <alignment horizontal="left" vertical="center" wrapText="1"/>
    </xf>
    <xf numFmtId="165" fontId="4" fillId="0" borderId="7"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5" fontId="4" fillId="0" borderId="34" xfId="0" applyNumberFormat="1" applyFont="1" applyBorder="1" applyAlignment="1">
      <alignment horizontal="right" vertical="center" wrapText="1"/>
    </xf>
    <xf numFmtId="165" fontId="4" fillId="0" borderId="64" xfId="0" applyNumberFormat="1" applyFont="1" applyBorder="1" applyAlignment="1">
      <alignment horizontal="right" vertical="center" wrapText="1"/>
    </xf>
    <xf numFmtId="0" fontId="23" fillId="0" borderId="72" xfId="0" applyFont="1" applyBorder="1" applyAlignment="1">
      <alignment vertical="center"/>
    </xf>
    <xf numFmtId="165" fontId="23" fillId="0" borderId="58" xfId="0" applyNumberFormat="1" applyFont="1" applyBorder="1" applyAlignment="1">
      <alignment vertical="center"/>
    </xf>
    <xf numFmtId="165" fontId="23" fillId="0" borderId="59" xfId="0" applyNumberFormat="1" applyFont="1" applyBorder="1" applyAlignment="1">
      <alignment vertical="center"/>
    </xf>
    <xf numFmtId="165" fontId="23" fillId="0" borderId="60" xfId="0" applyNumberFormat="1" applyFont="1" applyBorder="1" applyAlignment="1">
      <alignment vertical="center"/>
    </xf>
    <xf numFmtId="0" fontId="35" fillId="37" borderId="0" xfId="0" applyFont="1" applyFill="1"/>
    <xf numFmtId="165" fontId="0" fillId="37" borderId="0" xfId="0" applyNumberFormat="1" applyFill="1"/>
    <xf numFmtId="0" fontId="0" fillId="37" borderId="0" xfId="0" applyFill="1"/>
    <xf numFmtId="165" fontId="36" fillId="34" borderId="30" xfId="47" quotePrefix="1" applyNumberFormat="1" applyFont="1" applyFill="1" applyBorder="1" applyAlignment="1">
      <alignment horizontal="center" vertical="center" wrapText="1"/>
    </xf>
    <xf numFmtId="165" fontId="36" fillId="34" borderId="33" xfId="47" quotePrefix="1" applyNumberFormat="1" applyFont="1" applyFill="1" applyBorder="1" applyAlignment="1">
      <alignment horizontal="center" vertical="center" wrapText="1"/>
    </xf>
    <xf numFmtId="0" fontId="30" fillId="0" borderId="66" xfId="0" applyFont="1" applyBorder="1" applyAlignment="1">
      <alignment horizontal="left" vertical="center" wrapText="1"/>
    </xf>
    <xf numFmtId="165" fontId="30" fillId="0" borderId="3" xfId="0" applyNumberFormat="1" applyFont="1" applyBorder="1" applyAlignment="1">
      <alignment horizontal="right" vertical="center" wrapText="1"/>
    </xf>
    <xf numFmtId="165" fontId="30" fillId="0" borderId="9" xfId="0" applyNumberFormat="1" applyFont="1" applyBorder="1" applyAlignment="1">
      <alignment horizontal="right" vertical="center" wrapText="1"/>
    </xf>
    <xf numFmtId="165" fontId="30" fillId="0" borderId="33" xfId="0" applyNumberFormat="1" applyFont="1" applyBorder="1" applyAlignment="1">
      <alignment horizontal="right" vertical="center" wrapText="1"/>
    </xf>
    <xf numFmtId="0" fontId="30" fillId="0" borderId="67" xfId="0" applyFont="1" applyBorder="1" applyAlignment="1">
      <alignment horizontal="left" vertical="center" wrapText="1"/>
    </xf>
    <xf numFmtId="165" fontId="30" fillId="0" borderId="62" xfId="0" applyNumberFormat="1" applyFont="1" applyBorder="1" applyAlignment="1">
      <alignment horizontal="right" vertical="center" wrapText="1"/>
    </xf>
    <xf numFmtId="165" fontId="30" fillId="0" borderId="63" xfId="0" applyNumberFormat="1" applyFont="1" applyBorder="1" applyAlignment="1">
      <alignment horizontal="right" vertical="center" wrapText="1"/>
    </xf>
    <xf numFmtId="165" fontId="30" fillId="0" borderId="35" xfId="0" applyNumberFormat="1" applyFont="1" applyBorder="1" applyAlignment="1">
      <alignment horizontal="right" vertical="center" wrapText="1"/>
    </xf>
    <xf numFmtId="0" fontId="37" fillId="0" borderId="61" xfId="0" applyFont="1" applyBorder="1" applyAlignment="1">
      <alignment horizontal="left" vertical="center" wrapText="1"/>
    </xf>
    <xf numFmtId="165" fontId="37" fillId="0" borderId="58" xfId="0" applyNumberFormat="1" applyFont="1" applyBorder="1" applyAlignment="1">
      <alignment horizontal="right" vertical="center" wrapText="1"/>
    </xf>
    <xf numFmtId="165" fontId="37" fillId="0" borderId="59" xfId="0" applyNumberFormat="1" applyFont="1" applyBorder="1" applyAlignment="1">
      <alignment horizontal="right" vertical="center" wrapText="1"/>
    </xf>
    <xf numFmtId="165" fontId="37" fillId="0" borderId="60" xfId="0" applyNumberFormat="1" applyFont="1" applyBorder="1" applyAlignment="1">
      <alignment horizontal="right" vertical="center" wrapText="1"/>
    </xf>
    <xf numFmtId="0" fontId="30" fillId="0" borderId="68" xfId="0" applyFont="1" applyBorder="1" applyAlignment="1">
      <alignment horizontal="left" vertical="center" wrapText="1"/>
    </xf>
    <xf numFmtId="165" fontId="30" fillId="0" borderId="2" xfId="0" applyNumberFormat="1" applyFont="1" applyBorder="1" applyAlignment="1">
      <alignment horizontal="right" vertical="center" wrapText="1"/>
    </xf>
    <xf numFmtId="165" fontId="30" fillId="0" borderId="8" xfId="0" applyNumberFormat="1" applyFont="1" applyBorder="1" applyAlignment="1">
      <alignment horizontal="right" vertical="center" wrapText="1"/>
    </xf>
    <xf numFmtId="165" fontId="30" fillId="0" borderId="31" xfId="0" applyNumberFormat="1" applyFont="1" applyBorder="1" applyAlignment="1">
      <alignment horizontal="right" vertical="center" wrapText="1"/>
    </xf>
    <xf numFmtId="165" fontId="30" fillId="0" borderId="69" xfId="0" applyNumberFormat="1" applyFont="1" applyBorder="1" applyAlignment="1">
      <alignment horizontal="right" vertical="center" wrapText="1"/>
    </xf>
    <xf numFmtId="0" fontId="30" fillId="0" borderId="65" xfId="0" applyFont="1" applyBorder="1" applyAlignment="1">
      <alignment horizontal="left" vertical="center" wrapText="1"/>
    </xf>
    <xf numFmtId="165" fontId="30" fillId="0" borderId="20" xfId="0" applyNumberFormat="1" applyFont="1" applyBorder="1" applyAlignment="1">
      <alignment horizontal="right" vertical="center" wrapText="1"/>
    </xf>
    <xf numFmtId="165" fontId="30" fillId="0" borderId="22" xfId="0" applyNumberFormat="1" applyFont="1" applyBorder="1" applyAlignment="1">
      <alignment horizontal="right" vertical="center" wrapText="1"/>
    </xf>
    <xf numFmtId="165" fontId="30" fillId="0" borderId="32" xfId="0" applyNumberFormat="1" applyFont="1" applyBorder="1" applyAlignment="1">
      <alignment horizontal="right" vertical="center" wrapText="1"/>
    </xf>
    <xf numFmtId="165" fontId="30" fillId="0" borderId="70" xfId="0" applyNumberFormat="1" applyFont="1" applyBorder="1" applyAlignment="1">
      <alignment horizontal="right" vertical="center" wrapText="1"/>
    </xf>
    <xf numFmtId="165" fontId="30" fillId="0" borderId="71" xfId="0" applyNumberFormat="1" applyFont="1" applyBorder="1" applyAlignment="1">
      <alignment horizontal="right" vertical="center" wrapText="1"/>
    </xf>
    <xf numFmtId="0" fontId="30" fillId="0" borderId="38" xfId="0" applyFont="1" applyBorder="1" applyAlignment="1">
      <alignment horizontal="left" vertical="center" wrapText="1"/>
    </xf>
    <xf numFmtId="165" fontId="30" fillId="0" borderId="7" xfId="0" applyNumberFormat="1" applyFont="1" applyBorder="1" applyAlignment="1">
      <alignment horizontal="right" vertical="center" wrapText="1"/>
    </xf>
    <xf numFmtId="165" fontId="30" fillId="0" borderId="5" xfId="0" applyNumberFormat="1" applyFont="1" applyBorder="1" applyAlignment="1">
      <alignment horizontal="right" vertical="center" wrapText="1"/>
    </xf>
    <xf numFmtId="165" fontId="30" fillId="0" borderId="34" xfId="0" applyNumberFormat="1" applyFont="1" applyBorder="1" applyAlignment="1">
      <alignment horizontal="right" vertical="center" wrapText="1"/>
    </xf>
    <xf numFmtId="165" fontId="30" fillId="0" borderId="64" xfId="0" applyNumberFormat="1" applyFont="1" applyBorder="1" applyAlignment="1">
      <alignment horizontal="right" vertical="center" wrapText="1"/>
    </xf>
    <xf numFmtId="0" fontId="37" fillId="0" borderId="72" xfId="0" applyFont="1" applyBorder="1" applyAlignment="1">
      <alignment vertical="center"/>
    </xf>
    <xf numFmtId="165" fontId="37" fillId="0" borderId="58" xfId="0" applyNumberFormat="1" applyFont="1" applyBorder="1" applyAlignment="1">
      <alignment vertical="center"/>
    </xf>
    <xf numFmtId="165" fontId="37" fillId="0" borderId="59" xfId="0" applyNumberFormat="1" applyFont="1" applyBorder="1" applyAlignment="1">
      <alignment vertical="center"/>
    </xf>
    <xf numFmtId="165" fontId="37" fillId="0" borderId="60" xfId="0" applyNumberFormat="1" applyFont="1" applyBorder="1" applyAlignment="1">
      <alignment vertical="center"/>
    </xf>
    <xf numFmtId="0" fontId="39" fillId="0" borderId="68" xfId="0" applyFont="1" applyBorder="1" applyAlignment="1">
      <alignment horizontal="left" vertical="center" wrapText="1"/>
    </xf>
    <xf numFmtId="165" fontId="39" fillId="0" borderId="2" xfId="0" applyNumberFormat="1" applyFont="1" applyBorder="1" applyAlignment="1">
      <alignment horizontal="right" vertical="center" wrapText="1"/>
    </xf>
    <xf numFmtId="165" fontId="39" fillId="0" borderId="8" xfId="0" applyNumberFormat="1" applyFont="1" applyBorder="1" applyAlignment="1">
      <alignment horizontal="right" vertical="center" wrapText="1"/>
    </xf>
    <xf numFmtId="165" fontId="39" fillId="0" borderId="31" xfId="0" applyNumberFormat="1" applyFont="1" applyBorder="1" applyAlignment="1">
      <alignment horizontal="right" vertical="center" wrapText="1"/>
    </xf>
    <xf numFmtId="165" fontId="39" fillId="0" borderId="69" xfId="0" applyNumberFormat="1" applyFont="1" applyBorder="1" applyAlignment="1">
      <alignment horizontal="right" vertical="center" wrapText="1"/>
    </xf>
    <xf numFmtId="0" fontId="32" fillId="34" borderId="77" xfId="47" applyFont="1" applyFill="1" applyBorder="1" applyAlignment="1">
      <alignment horizontal="center" vertical="center"/>
    </xf>
    <xf numFmtId="0" fontId="32" fillId="34" borderId="73" xfId="47" applyFont="1" applyFill="1" applyBorder="1" applyAlignment="1">
      <alignment horizontal="center" vertical="center"/>
    </xf>
    <xf numFmtId="0" fontId="32" fillId="34" borderId="78" xfId="47" applyFont="1" applyFill="1" applyBorder="1" applyAlignment="1">
      <alignment horizontal="center" vertical="center"/>
    </xf>
    <xf numFmtId="0" fontId="36" fillId="34" borderId="77" xfId="47" applyFont="1" applyFill="1" applyBorder="1" applyAlignment="1">
      <alignment horizontal="left" wrapText="1"/>
    </xf>
    <xf numFmtId="0" fontId="36" fillId="34" borderId="65" xfId="47" applyFont="1" applyFill="1" applyBorder="1" applyAlignment="1">
      <alignment horizontal="left" wrapText="1"/>
    </xf>
    <xf numFmtId="165" fontId="36" fillId="34" borderId="74" xfId="47" quotePrefix="1" applyNumberFormat="1" applyFont="1" applyFill="1" applyBorder="1" applyAlignment="1">
      <alignment horizontal="center" vertical="center" wrapText="1"/>
    </xf>
    <xf numFmtId="165" fontId="36" fillId="34" borderId="21" xfId="47" quotePrefix="1" applyNumberFormat="1" applyFont="1" applyFill="1" applyBorder="1" applyAlignment="1">
      <alignment horizontal="center" vertical="center" wrapText="1"/>
    </xf>
    <xf numFmtId="165" fontId="36" fillId="34" borderId="75" xfId="47" quotePrefix="1" applyNumberFormat="1" applyFont="1" applyFill="1" applyBorder="1" applyAlignment="1">
      <alignment horizontal="center" vertical="center" wrapText="1"/>
    </xf>
    <xf numFmtId="165" fontId="36" fillId="34" borderId="22" xfId="47" quotePrefix="1" applyNumberFormat="1" applyFont="1" applyFill="1" applyBorder="1" applyAlignment="1">
      <alignment horizontal="center" vertical="center" wrapText="1"/>
    </xf>
    <xf numFmtId="165" fontId="36" fillId="34" borderId="76" xfId="47" quotePrefix="1" applyNumberFormat="1" applyFont="1" applyFill="1" applyBorder="1" applyAlignment="1">
      <alignment horizontal="center" vertical="center" wrapText="1"/>
    </xf>
    <xf numFmtId="165" fontId="36" fillId="34" borderId="20" xfId="47" quotePrefix="1" applyNumberFormat="1" applyFont="1" applyFill="1" applyBorder="1" applyAlignment="1">
      <alignment horizontal="center" vertical="center" wrapText="1"/>
    </xf>
    <xf numFmtId="165" fontId="36" fillId="34" borderId="78" xfId="47" quotePrefix="1" applyNumberFormat="1" applyFont="1" applyFill="1" applyBorder="1" applyAlignment="1">
      <alignment horizontal="center" vertical="center" wrapText="1"/>
    </xf>
    <xf numFmtId="0" fontId="38" fillId="34" borderId="77" xfId="47" applyFont="1" applyFill="1" applyBorder="1" applyAlignment="1">
      <alignment horizontal="center" vertical="center"/>
    </xf>
    <xf numFmtId="0" fontId="38" fillId="34" borderId="73" xfId="47" applyFont="1" applyFill="1" applyBorder="1" applyAlignment="1">
      <alignment horizontal="center" vertical="center"/>
    </xf>
    <xf numFmtId="0" fontId="38" fillId="34" borderId="78" xfId="47" applyFont="1" applyFill="1" applyBorder="1" applyAlignment="1">
      <alignment horizontal="center" vertical="center"/>
    </xf>
    <xf numFmtId="0" fontId="34" fillId="34" borderId="77" xfId="47" applyFont="1" applyFill="1" applyBorder="1" applyAlignment="1">
      <alignment horizontal="center" vertical="center"/>
    </xf>
    <xf numFmtId="0" fontId="34" fillId="34" borderId="73" xfId="47" applyFont="1" applyFill="1" applyBorder="1" applyAlignment="1">
      <alignment horizontal="center" vertical="center"/>
    </xf>
    <xf numFmtId="0" fontId="34" fillId="34" borderId="78" xfId="47" applyFont="1" applyFill="1" applyBorder="1" applyAlignment="1">
      <alignment horizontal="center" vertical="center"/>
    </xf>
    <xf numFmtId="0" fontId="33" fillId="34" borderId="77" xfId="47" applyFont="1" applyFill="1" applyBorder="1" applyAlignment="1">
      <alignment horizontal="left" wrapText="1"/>
    </xf>
    <xf numFmtId="0" fontId="33" fillId="34" borderId="65" xfId="47" applyFont="1" applyFill="1" applyBorder="1" applyAlignment="1">
      <alignment horizontal="left" wrapText="1"/>
    </xf>
    <xf numFmtId="165" fontId="33" fillId="34" borderId="74" xfId="47" quotePrefix="1" applyNumberFormat="1" applyFont="1" applyFill="1" applyBorder="1" applyAlignment="1">
      <alignment horizontal="center" vertical="center" wrapText="1"/>
    </xf>
    <xf numFmtId="165" fontId="33" fillId="34" borderId="21" xfId="47" quotePrefix="1" applyNumberFormat="1" applyFont="1" applyFill="1" applyBorder="1" applyAlignment="1">
      <alignment horizontal="center" vertical="center" wrapText="1"/>
    </xf>
    <xf numFmtId="165" fontId="33" fillId="34" borderId="75" xfId="47" quotePrefix="1" applyNumberFormat="1" applyFont="1" applyFill="1" applyBorder="1" applyAlignment="1">
      <alignment horizontal="center" vertical="center" wrapText="1"/>
    </xf>
    <xf numFmtId="165" fontId="33" fillId="34" borderId="22" xfId="47" quotePrefix="1" applyNumberFormat="1" applyFont="1" applyFill="1" applyBorder="1" applyAlignment="1">
      <alignment horizontal="center" vertical="center" wrapText="1"/>
    </xf>
    <xf numFmtId="165" fontId="33" fillId="34" borderId="76" xfId="47" quotePrefix="1" applyNumberFormat="1" applyFont="1" applyFill="1" applyBorder="1" applyAlignment="1">
      <alignment horizontal="center" vertical="center" wrapText="1"/>
    </xf>
    <xf numFmtId="165" fontId="33" fillId="34" borderId="20" xfId="47" quotePrefix="1" applyNumberFormat="1" applyFont="1" applyFill="1" applyBorder="1" applyAlignment="1">
      <alignment horizontal="center" vertical="center" wrapText="1"/>
    </xf>
    <xf numFmtId="165" fontId="33" fillId="34" borderId="78" xfId="47" quotePrefix="1" applyNumberFormat="1" applyFont="1" applyFill="1" applyBorder="1" applyAlignment="1">
      <alignment horizontal="center" vertical="center" wrapText="1"/>
    </xf>
    <xf numFmtId="0" fontId="25" fillId="34" borderId="9" xfId="47" applyFont="1" applyFill="1" applyBorder="1" applyAlignment="1">
      <alignment horizontal="center" vertical="center"/>
    </xf>
    <xf numFmtId="0" fontId="25" fillId="34" borderId="10" xfId="47" applyFont="1" applyFill="1" applyBorder="1" applyAlignment="1">
      <alignment horizontal="center" vertical="center"/>
    </xf>
    <xf numFmtId="0" fontId="25" fillId="34" borderId="1" xfId="47" applyFont="1" applyFill="1" applyBorder="1" applyAlignment="1">
      <alignment horizontal="center" vertical="center"/>
    </xf>
    <xf numFmtId="0" fontId="25" fillId="34" borderId="7" xfId="47" applyFont="1" applyFill="1" applyBorder="1" applyAlignment="1">
      <alignment horizontal="left" wrapText="1"/>
    </xf>
    <xf numFmtId="0" fontId="25" fillId="34" borderId="20" xfId="47" applyFont="1" applyFill="1" applyBorder="1" applyAlignment="1">
      <alignment horizontal="left" wrapText="1"/>
    </xf>
    <xf numFmtId="165" fontId="26" fillId="34" borderId="6" xfId="47" quotePrefix="1" applyNumberFormat="1" applyFont="1" applyFill="1" applyBorder="1" applyAlignment="1">
      <alignment horizontal="center" vertical="center" wrapText="1"/>
    </xf>
    <xf numFmtId="165" fontId="26" fillId="34" borderId="21" xfId="47" quotePrefix="1" applyNumberFormat="1" applyFont="1" applyFill="1" applyBorder="1" applyAlignment="1">
      <alignment horizontal="center" vertical="center" wrapText="1"/>
    </xf>
    <xf numFmtId="165" fontId="26" fillId="34" borderId="5" xfId="47" quotePrefix="1" applyNumberFormat="1" applyFont="1" applyFill="1" applyBorder="1" applyAlignment="1">
      <alignment horizontal="center" vertical="center" wrapText="1"/>
    </xf>
    <xf numFmtId="165" fontId="26" fillId="34" borderId="22" xfId="47" quotePrefix="1" applyNumberFormat="1" applyFont="1" applyFill="1" applyBorder="1" applyAlignment="1">
      <alignment horizontal="center" vertical="center" wrapText="1"/>
    </xf>
    <xf numFmtId="165" fontId="26" fillId="34" borderId="7" xfId="47" quotePrefix="1" applyNumberFormat="1" applyFont="1" applyFill="1" applyBorder="1" applyAlignment="1">
      <alignment horizontal="center" vertical="center" wrapText="1"/>
    </xf>
    <xf numFmtId="165" fontId="26" fillId="34" borderId="20" xfId="47" quotePrefix="1" applyNumberFormat="1" applyFont="1" applyFill="1" applyBorder="1" applyAlignment="1">
      <alignment horizontal="center" vertical="center" wrapText="1"/>
    </xf>
    <xf numFmtId="165" fontId="26" fillId="34" borderId="1" xfId="47" quotePrefix="1" applyNumberFormat="1" applyFont="1" applyFill="1" applyBorder="1" applyAlignment="1">
      <alignment horizontal="center" vertical="center" wrapText="1"/>
    </xf>
    <xf numFmtId="165" fontId="26" fillId="34" borderId="54" xfId="47" quotePrefix="1" applyNumberFormat="1" applyFont="1" applyFill="1" applyBorder="1" applyAlignment="1">
      <alignment horizontal="center" vertical="center" wrapText="1"/>
    </xf>
    <xf numFmtId="165" fontId="26" fillId="34" borderId="6" xfId="0" quotePrefix="1" applyNumberFormat="1" applyFont="1" applyFill="1" applyBorder="1" applyAlignment="1">
      <alignment horizontal="center" vertical="center" wrapText="1"/>
    </xf>
    <xf numFmtId="165" fontId="26" fillId="34" borderId="21" xfId="0" quotePrefix="1" applyNumberFormat="1" applyFont="1" applyFill="1" applyBorder="1" applyAlignment="1">
      <alignment horizontal="center" vertical="center" wrapText="1"/>
    </xf>
    <xf numFmtId="165" fontId="26" fillId="34" borderId="5" xfId="0" quotePrefix="1" applyNumberFormat="1" applyFont="1" applyFill="1" applyBorder="1" applyAlignment="1">
      <alignment horizontal="center" vertical="center" wrapText="1"/>
    </xf>
    <xf numFmtId="165" fontId="26" fillId="34" borderId="22" xfId="0" quotePrefix="1" applyNumberFormat="1" applyFont="1" applyFill="1" applyBorder="1" applyAlignment="1">
      <alignment horizontal="center" vertical="center" wrapText="1"/>
    </xf>
    <xf numFmtId="165" fontId="26" fillId="34" borderId="36" xfId="0" quotePrefix="1" applyNumberFormat="1" applyFont="1" applyFill="1" applyBorder="1" applyAlignment="1">
      <alignment horizontal="center" vertical="center" wrapText="1"/>
    </xf>
    <xf numFmtId="165" fontId="26" fillId="34" borderId="20" xfId="0" quotePrefix="1" applyNumberFormat="1" applyFont="1" applyFill="1" applyBorder="1" applyAlignment="1">
      <alignment horizontal="center" vertical="center" wrapText="1"/>
    </xf>
    <xf numFmtId="165" fontId="26" fillId="34" borderId="38" xfId="0" quotePrefix="1" applyNumberFormat="1" applyFont="1" applyFill="1" applyBorder="1" applyAlignment="1">
      <alignment horizontal="center" vertical="center" wrapText="1"/>
    </xf>
    <xf numFmtId="165" fontId="26" fillId="34" borderId="1" xfId="0" quotePrefix="1" applyNumberFormat="1" applyFont="1" applyFill="1" applyBorder="1" applyAlignment="1">
      <alignment horizontal="center" vertical="center" wrapText="1"/>
    </xf>
    <xf numFmtId="165" fontId="26" fillId="34" borderId="36" xfId="47" quotePrefix="1" applyNumberFormat="1" applyFont="1" applyFill="1" applyBorder="1" applyAlignment="1">
      <alignment horizontal="center" vertical="center" wrapText="1"/>
    </xf>
    <xf numFmtId="165" fontId="26" fillId="34" borderId="37" xfId="47" quotePrefix="1" applyNumberFormat="1" applyFont="1" applyFill="1" applyBorder="1" applyAlignment="1">
      <alignment horizontal="center" vertical="center" wrapText="1"/>
    </xf>
    <xf numFmtId="165" fontId="26" fillId="34" borderId="32" xfId="47" quotePrefix="1" applyNumberFormat="1" applyFont="1" applyFill="1" applyBorder="1" applyAlignment="1">
      <alignment horizontal="center" vertical="center" wrapText="1"/>
    </xf>
    <xf numFmtId="0" fontId="25" fillId="34" borderId="7" xfId="47" applyFont="1" applyFill="1" applyBorder="1" applyAlignment="1">
      <alignment horizontal="center" vertical="center"/>
    </xf>
    <xf numFmtId="0" fontId="25" fillId="34" borderId="23" xfId="47" applyFont="1" applyFill="1" applyBorder="1" applyAlignment="1">
      <alignment horizontal="center" vertical="center"/>
    </xf>
  </cellXfs>
  <cellStyles count="59">
    <cellStyle name="20 % - Farve1" xfId="1" builtinId="30" customBuiltin="1"/>
    <cellStyle name="20 % - Farve2" xfId="2" builtinId="34" customBuiltin="1"/>
    <cellStyle name="20 % - Farve3" xfId="3" builtinId="38" customBuiltin="1"/>
    <cellStyle name="20 % - Farve4" xfId="4" builtinId="42" customBuiltin="1"/>
    <cellStyle name="20 % - Farve5" xfId="5" builtinId="46" customBuiltin="1"/>
    <cellStyle name="20 % - Farve6" xfId="6" builtinId="50" customBuiltin="1"/>
    <cellStyle name="40 % - Farve1" xfId="7" builtinId="31" customBuiltin="1"/>
    <cellStyle name="40 % - Farve2" xfId="8" builtinId="35" customBuiltin="1"/>
    <cellStyle name="40 % - Farve3" xfId="9" builtinId="39" customBuiltin="1"/>
    <cellStyle name="40 % - Farve4" xfId="10" builtinId="43" customBuiltin="1"/>
    <cellStyle name="40 % - Farve5" xfId="11" builtinId="47" customBuiltin="1"/>
    <cellStyle name="40 % - Farve6" xfId="12" builtinId="51" customBuiltin="1"/>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cellStyle name="Komma 2 2" xfId="32"/>
    <cellStyle name="Komma 2 2 2" xfId="33"/>
    <cellStyle name="Komma 2 2 2 2" xfId="34"/>
    <cellStyle name="Komma 2 2 2 2 2" xfId="35"/>
    <cellStyle name="Komma 2 2 2 2 3" xfId="36"/>
    <cellStyle name="Komma 2 2 2 3" xfId="37"/>
    <cellStyle name="Komma 2 2 2 4" xfId="38"/>
    <cellStyle name="Komma 2 3" xfId="39"/>
    <cellStyle name="Komma 2 3 2" xfId="40"/>
    <cellStyle name="Komma 2 3 2 2" xfId="41"/>
    <cellStyle name="Komma 2 3 2 3" xfId="42"/>
    <cellStyle name="Komma 2 3 3" xfId="43"/>
    <cellStyle name="Komma 2 3 4" xfId="44"/>
    <cellStyle name="Kontrollér celle" xfId="45" builtinId="23" customBuiltin="1"/>
    <cellStyle name="Neutral" xfId="46" builtinId="28" customBuiltin="1"/>
    <cellStyle name="Normal" xfId="0" builtinId="0"/>
    <cellStyle name="Normal 2" xfId="47"/>
    <cellStyle name="Normal 3" xfId="48"/>
    <cellStyle name="Normal 4" xfId="49"/>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cellStyle name="Total" xfId="57" builtinId="25" customBuiltin="1"/>
    <cellStyle name="Ugyldig" xfId="58" builtinId="27" customBuiltin="1"/>
  </cellStyles>
  <dxfs count="0"/>
  <tableStyles count="0" defaultTableStyle="TableStyleMedium2" defaultPivotStyle="PivotStyleLight16"/>
  <colors>
    <mruColors>
      <color rgb="FFD9E2F3"/>
      <color rgb="FF00416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16</xdr:row>
      <xdr:rowOff>142875</xdr:rowOff>
    </xdr:from>
    <xdr:to>
      <xdr:col>5</xdr:col>
      <xdr:colOff>171450</xdr:colOff>
      <xdr:row>21</xdr:row>
      <xdr:rowOff>104775</xdr:rowOff>
    </xdr:to>
    <xdr:sp macro="" textlink="">
      <xdr:nvSpPr>
        <xdr:cNvPr id="2" name="Text Box 2"/>
        <xdr:cNvSpPr txBox="1">
          <a:spLocks noChangeArrowheads="1"/>
        </xdr:cNvSpPr>
      </xdr:nvSpPr>
      <xdr:spPr bwMode="auto">
        <a:xfrm>
          <a:off x="6019800" y="4095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xdr:row>
      <xdr:rowOff>0</xdr:rowOff>
    </xdr:from>
    <xdr:to>
      <xdr:col>0</xdr:col>
      <xdr:colOff>85725</xdr:colOff>
      <xdr:row>21</xdr:row>
      <xdr:rowOff>76200</xdr:rowOff>
    </xdr:to>
    <xdr:sp macro="" textlink="">
      <xdr:nvSpPr>
        <xdr:cNvPr id="3" name="Text Box 3"/>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xdr:row>
      <xdr:rowOff>0</xdr:rowOff>
    </xdr:from>
    <xdr:to>
      <xdr:col>0</xdr:col>
      <xdr:colOff>85725</xdr:colOff>
      <xdr:row>21</xdr:row>
      <xdr:rowOff>76200</xdr:rowOff>
    </xdr:to>
    <xdr:sp macro="" textlink="">
      <xdr:nvSpPr>
        <xdr:cNvPr id="4" name="Text Box 4"/>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5" name="AutoShape 5"/>
        <xdr:cNvSpPr>
          <a:spLocks/>
        </xdr:cNvSpPr>
      </xdr:nvSpPr>
      <xdr:spPr bwMode="auto">
        <a:xfrm>
          <a:off x="0" y="449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19</xdr:row>
      <xdr:rowOff>0</xdr:rowOff>
    </xdr:from>
    <xdr:to>
      <xdr:col>0</xdr:col>
      <xdr:colOff>95250</xdr:colOff>
      <xdr:row>21</xdr:row>
      <xdr:rowOff>104775</xdr:rowOff>
    </xdr:to>
    <xdr:sp macro="" textlink="">
      <xdr:nvSpPr>
        <xdr:cNvPr id="6" name="Text Box 6"/>
        <xdr:cNvSpPr txBox="1">
          <a:spLocks noChangeArrowheads="1"/>
        </xdr:cNvSpPr>
      </xdr:nvSpPr>
      <xdr:spPr bwMode="auto">
        <a:xfrm>
          <a:off x="0" y="44958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17</xdr:row>
      <xdr:rowOff>0</xdr:rowOff>
    </xdr:from>
    <xdr:ext cx="85725" cy="619125"/>
    <xdr:sp macro="" textlink="">
      <xdr:nvSpPr>
        <xdr:cNvPr id="7" name="Text Box 2"/>
        <xdr:cNvSpPr txBox="1">
          <a:spLocks noChangeArrowheads="1"/>
        </xdr:cNvSpPr>
      </xdr:nvSpPr>
      <xdr:spPr bwMode="auto">
        <a:xfrm>
          <a:off x="7429500" y="41338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857250</xdr:colOff>
      <xdr:row>18</xdr:row>
      <xdr:rowOff>0</xdr:rowOff>
    </xdr:from>
    <xdr:to>
      <xdr:col>5</xdr:col>
      <xdr:colOff>19050</xdr:colOff>
      <xdr:row>21</xdr:row>
      <xdr:rowOff>85725</xdr:rowOff>
    </xdr:to>
    <xdr:sp macro="" textlink="">
      <xdr:nvSpPr>
        <xdr:cNvPr id="2"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3" name="Text Box 3"/>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4" name="Text Box 4"/>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5" name="AutoShape 5"/>
        <xdr:cNvSpPr>
          <a:spLocks/>
        </xdr:cNvSpPr>
      </xdr:nvSpPr>
      <xdr:spPr bwMode="auto">
        <a:xfrm>
          <a:off x="0" y="441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20</xdr:row>
      <xdr:rowOff>0</xdr:rowOff>
    </xdr:from>
    <xdr:to>
      <xdr:col>0</xdr:col>
      <xdr:colOff>95250</xdr:colOff>
      <xdr:row>22</xdr:row>
      <xdr:rowOff>104775</xdr:rowOff>
    </xdr:to>
    <xdr:sp macro="" textlink="">
      <xdr:nvSpPr>
        <xdr:cNvPr id="6" name="Text Box 6"/>
        <xdr:cNvSpPr txBox="1">
          <a:spLocks noChangeArrowheads="1"/>
        </xdr:cNvSpPr>
      </xdr:nvSpPr>
      <xdr:spPr bwMode="auto">
        <a:xfrm>
          <a:off x="0" y="44196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18</xdr:row>
      <xdr:rowOff>0</xdr:rowOff>
    </xdr:from>
    <xdr:ext cx="85725" cy="619125"/>
    <xdr:sp macro="" textlink="">
      <xdr:nvSpPr>
        <xdr:cNvPr id="7"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20</xdr:row>
      <xdr:rowOff>0</xdr:rowOff>
    </xdr:from>
    <xdr:to>
      <xdr:col>3</xdr:col>
      <xdr:colOff>821054</xdr:colOff>
      <xdr:row>21</xdr:row>
      <xdr:rowOff>17542</xdr:rowOff>
    </xdr:to>
    <xdr:pic>
      <xdr:nvPicPr>
        <xdr:cNvPr id="8" name="Billede 7"/>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857250</xdr:colOff>
      <xdr:row>18</xdr:row>
      <xdr:rowOff>0</xdr:rowOff>
    </xdr:from>
    <xdr:to>
      <xdr:col>5</xdr:col>
      <xdr:colOff>0</xdr:colOff>
      <xdr:row>21</xdr:row>
      <xdr:rowOff>85725</xdr:rowOff>
    </xdr:to>
    <xdr:sp macro="" textlink="">
      <xdr:nvSpPr>
        <xdr:cNvPr id="2"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20</xdr:row>
      <xdr:rowOff>0</xdr:rowOff>
    </xdr:from>
    <xdr:to>
      <xdr:col>0</xdr:col>
      <xdr:colOff>95250</xdr:colOff>
      <xdr:row>22</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18</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20</xdr:row>
      <xdr:rowOff>0</xdr:rowOff>
    </xdr:from>
    <xdr:to>
      <xdr:col>1</xdr:col>
      <xdr:colOff>925829</xdr:colOff>
      <xdr:row>21</xdr:row>
      <xdr:rowOff>17542</xdr:rowOff>
    </xdr:to>
    <xdr:pic>
      <xdr:nvPicPr>
        <xdr:cNvPr id="10" name="Billede 9"/>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20</xdr:row>
      <xdr:rowOff>180975</xdr:rowOff>
    </xdr:from>
    <xdr:to>
      <xdr:col>4</xdr:col>
      <xdr:colOff>942975</xdr:colOff>
      <xdr:row>22</xdr:row>
      <xdr:rowOff>38100</xdr:rowOff>
    </xdr:to>
    <xdr:sp macro="" textlink="">
      <xdr:nvSpPr>
        <xdr:cNvPr id="2" name="Text Box 2"/>
        <xdr:cNvSpPr txBox="1">
          <a:spLocks noChangeArrowheads="1"/>
        </xdr:cNvSpPr>
      </xdr:nvSpPr>
      <xdr:spPr bwMode="auto">
        <a:xfrm>
          <a:off x="7515225" y="4914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3" name="Text Box 3"/>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4" name="Text Box 4"/>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5" name="AutoShape 5"/>
        <xdr:cNvSpPr>
          <a:spLocks/>
        </xdr:cNvSpPr>
      </xdr:nvSpPr>
      <xdr:spPr bwMode="auto">
        <a:xfrm>
          <a:off x="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6" name="Text Box 6"/>
        <xdr:cNvSpPr txBox="1">
          <a:spLocks noChangeArrowheads="1"/>
        </xdr:cNvSpPr>
      </xdr:nvSpPr>
      <xdr:spPr bwMode="auto">
        <a:xfrm>
          <a:off x="0" y="6534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714375</xdr:colOff>
      <xdr:row>20</xdr:row>
      <xdr:rowOff>495300</xdr:rowOff>
    </xdr:from>
    <xdr:ext cx="85725" cy="619125"/>
    <xdr:sp macro="" textlink="">
      <xdr:nvSpPr>
        <xdr:cNvPr id="7" name="Text Box 2"/>
        <xdr:cNvSpPr txBox="1">
          <a:spLocks noChangeArrowheads="1"/>
        </xdr:cNvSpPr>
      </xdr:nvSpPr>
      <xdr:spPr bwMode="auto">
        <a:xfrm>
          <a:off x="7620000" y="6162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1028700</xdr:colOff>
      <xdr:row>12</xdr:row>
      <xdr:rowOff>247650</xdr:rowOff>
    </xdr:from>
    <xdr:to>
      <xdr:col>4</xdr:col>
      <xdr:colOff>1114425</xdr:colOff>
      <xdr:row>14</xdr:row>
      <xdr:rowOff>171450</xdr:rowOff>
    </xdr:to>
    <xdr:sp macro="" textlink="">
      <xdr:nvSpPr>
        <xdr:cNvPr id="8" name="Text Box 2"/>
        <xdr:cNvSpPr txBox="1">
          <a:spLocks noChangeArrowheads="1"/>
        </xdr:cNvSpPr>
      </xdr:nvSpPr>
      <xdr:spPr bwMode="auto">
        <a:xfrm>
          <a:off x="7686675" y="2819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13</xdr:row>
      <xdr:rowOff>9525</xdr:rowOff>
    </xdr:from>
    <xdr:ext cx="85725" cy="619125"/>
    <xdr:sp macro="" textlink="">
      <xdr:nvSpPr>
        <xdr:cNvPr id="9" name="Text Box 2"/>
        <xdr:cNvSpPr txBox="1">
          <a:spLocks noChangeArrowheads="1"/>
        </xdr:cNvSpPr>
      </xdr:nvSpPr>
      <xdr:spPr bwMode="auto">
        <a:xfrm>
          <a:off x="7219950" y="3095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5</xdr:row>
      <xdr:rowOff>342900</xdr:rowOff>
    </xdr:to>
    <xdr:sp macro="" textlink="">
      <xdr:nvSpPr>
        <xdr:cNvPr id="10" name="Text Box 2"/>
        <xdr:cNvSpPr txBox="1">
          <a:spLocks noChangeArrowheads="1"/>
        </xdr:cNvSpPr>
      </xdr:nvSpPr>
      <xdr:spPr bwMode="auto">
        <a:xfrm>
          <a:off x="7781925"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xdr:cNvSpPr txBox="1">
          <a:spLocks noChangeArrowheads="1"/>
        </xdr:cNvSpPr>
      </xdr:nvSpPr>
      <xdr:spPr bwMode="auto">
        <a:xfrm>
          <a:off x="730567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24</xdr:row>
      <xdr:rowOff>66675</xdr:rowOff>
    </xdr:from>
    <xdr:to>
      <xdr:col>5</xdr:col>
      <xdr:colOff>28575</xdr:colOff>
      <xdr:row>28</xdr:row>
      <xdr:rowOff>57150</xdr:rowOff>
    </xdr:to>
    <xdr:sp macro="" textlink="">
      <xdr:nvSpPr>
        <xdr:cNvPr id="12" name="Text Box 2"/>
        <xdr:cNvSpPr txBox="1">
          <a:spLocks noChangeArrowheads="1"/>
        </xdr:cNvSpPr>
      </xdr:nvSpPr>
      <xdr:spPr bwMode="auto">
        <a:xfrm>
          <a:off x="8105775" y="5791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857250</xdr:colOff>
      <xdr:row>24</xdr:row>
      <xdr:rowOff>0</xdr:rowOff>
    </xdr:from>
    <xdr:ext cx="85725" cy="619125"/>
    <xdr:sp macro="" textlink="">
      <xdr:nvSpPr>
        <xdr:cNvPr id="13" name="Text Box 2"/>
        <xdr:cNvSpPr txBox="1">
          <a:spLocks noChangeArrowheads="1"/>
        </xdr:cNvSpPr>
      </xdr:nvSpPr>
      <xdr:spPr bwMode="auto">
        <a:xfrm>
          <a:off x="8724900" y="5810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21</xdr:row>
      <xdr:rowOff>180975</xdr:rowOff>
    </xdr:from>
    <xdr:ext cx="85725" cy="619125"/>
    <xdr:sp macro="" textlink="">
      <xdr:nvSpPr>
        <xdr:cNvPr id="14" name="Text Box 2"/>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21</xdr:row>
      <xdr:rowOff>180975</xdr:rowOff>
    </xdr:from>
    <xdr:ext cx="85725" cy="619125"/>
    <xdr:sp macro="" textlink="">
      <xdr:nvSpPr>
        <xdr:cNvPr id="15" name="Text Box 2"/>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28</xdr:row>
      <xdr:rowOff>0</xdr:rowOff>
    </xdr:from>
    <xdr:to>
      <xdr:col>0</xdr:col>
      <xdr:colOff>85725</xdr:colOff>
      <xdr:row>30</xdr:row>
      <xdr:rowOff>76200</xdr:rowOff>
    </xdr:to>
    <xdr:sp macro="" textlink="">
      <xdr:nvSpPr>
        <xdr:cNvPr id="16" name="Text Box 3"/>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17" name="Text Box 4"/>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18" name="Text Box 6"/>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19" name="Text Box 3"/>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20" name="Text Box 4"/>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21" name="Text Box 6"/>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857250</xdr:colOff>
      <xdr:row>22</xdr:row>
      <xdr:rowOff>0</xdr:rowOff>
    </xdr:from>
    <xdr:to>
      <xdr:col>4</xdr:col>
      <xdr:colOff>942975</xdr:colOff>
      <xdr:row>25</xdr:row>
      <xdr:rowOff>76200</xdr:rowOff>
    </xdr:to>
    <xdr:sp macro="" textlink="">
      <xdr:nvSpPr>
        <xdr:cNvPr id="2" name="Text Box 2"/>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0</xdr:rowOff>
    </xdr:from>
    <xdr:to>
      <xdr:col>0</xdr:col>
      <xdr:colOff>85725</xdr:colOff>
      <xdr:row>27</xdr:row>
      <xdr:rowOff>76200</xdr:rowOff>
    </xdr:to>
    <xdr:sp macro="" textlink="">
      <xdr:nvSpPr>
        <xdr:cNvPr id="3" name="Text Box 3"/>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0</xdr:rowOff>
    </xdr:from>
    <xdr:to>
      <xdr:col>0</xdr:col>
      <xdr:colOff>85725</xdr:colOff>
      <xdr:row>27</xdr:row>
      <xdr:rowOff>76200</xdr:rowOff>
    </xdr:to>
    <xdr:sp macro="" textlink="">
      <xdr:nvSpPr>
        <xdr:cNvPr id="4" name="Text Box 4"/>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25</xdr:row>
      <xdr:rowOff>0</xdr:rowOff>
    </xdr:from>
    <xdr:to>
      <xdr:col>0</xdr:col>
      <xdr:colOff>0</xdr:colOff>
      <xdr:row>25</xdr:row>
      <xdr:rowOff>0</xdr:rowOff>
    </xdr:to>
    <xdr:sp macro="" textlink="">
      <xdr:nvSpPr>
        <xdr:cNvPr id="5" name="AutoShape 5"/>
        <xdr:cNvSpPr>
          <a:spLocks/>
        </xdr:cNvSpPr>
      </xdr:nvSpPr>
      <xdr:spPr bwMode="auto">
        <a:xfrm>
          <a:off x="0" y="8039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25</xdr:row>
      <xdr:rowOff>0</xdr:rowOff>
    </xdr:from>
    <xdr:to>
      <xdr:col>0</xdr:col>
      <xdr:colOff>95250</xdr:colOff>
      <xdr:row>27</xdr:row>
      <xdr:rowOff>104775</xdr:rowOff>
    </xdr:to>
    <xdr:sp macro="" textlink="">
      <xdr:nvSpPr>
        <xdr:cNvPr id="6" name="Text Box 6"/>
        <xdr:cNvSpPr txBox="1">
          <a:spLocks noChangeArrowheads="1"/>
        </xdr:cNvSpPr>
      </xdr:nvSpPr>
      <xdr:spPr bwMode="auto">
        <a:xfrm>
          <a:off x="0" y="8039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22</xdr:row>
      <xdr:rowOff>0</xdr:rowOff>
    </xdr:from>
    <xdr:ext cx="85725" cy="619125"/>
    <xdr:sp macro="" textlink="">
      <xdr:nvSpPr>
        <xdr:cNvPr id="7" name="Text Box 2"/>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26</xdr:row>
      <xdr:rowOff>0</xdr:rowOff>
    </xdr:from>
    <xdr:to>
      <xdr:col>0</xdr:col>
      <xdr:colOff>85725</xdr:colOff>
      <xdr:row>28</xdr:row>
      <xdr:rowOff>85725</xdr:rowOff>
    </xdr:to>
    <xdr:sp macro="" textlink="">
      <xdr:nvSpPr>
        <xdr:cNvPr id="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95250</xdr:colOff>
      <xdr:row>28</xdr:row>
      <xdr:rowOff>114300</xdr:rowOff>
    </xdr:to>
    <xdr:sp macro="" textlink="">
      <xdr:nvSpPr>
        <xdr:cNvPr id="1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1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1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95250</xdr:colOff>
      <xdr:row>28</xdr:row>
      <xdr:rowOff>114300</xdr:rowOff>
    </xdr:to>
    <xdr:sp macro="" textlink="">
      <xdr:nvSpPr>
        <xdr:cNvPr id="1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857250</xdr:colOff>
      <xdr:row>19</xdr:row>
      <xdr:rowOff>180975</xdr:rowOff>
    </xdr:from>
    <xdr:to>
      <xdr:col>4</xdr:col>
      <xdr:colOff>942975</xdr:colOff>
      <xdr:row>21</xdr:row>
      <xdr:rowOff>76200</xdr:rowOff>
    </xdr:to>
    <xdr:sp macro="" textlink="">
      <xdr:nvSpPr>
        <xdr:cNvPr id="2" name="Text Box 2"/>
        <xdr:cNvSpPr txBox="1">
          <a:spLocks noChangeArrowheads="1"/>
        </xdr:cNvSpPr>
      </xdr:nvSpPr>
      <xdr:spPr bwMode="auto">
        <a:xfrm>
          <a:off x="7429500" y="4438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30</xdr:row>
      <xdr:rowOff>0</xdr:rowOff>
    </xdr:from>
    <xdr:to>
      <xdr:col>0</xdr:col>
      <xdr:colOff>85725</xdr:colOff>
      <xdr:row>32</xdr:row>
      <xdr:rowOff>38100</xdr:rowOff>
    </xdr:to>
    <xdr:sp macro="" textlink="">
      <xdr:nvSpPr>
        <xdr:cNvPr id="3" name="Text Box 3"/>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30</xdr:row>
      <xdr:rowOff>0</xdr:rowOff>
    </xdr:from>
    <xdr:to>
      <xdr:col>0</xdr:col>
      <xdr:colOff>85725</xdr:colOff>
      <xdr:row>32</xdr:row>
      <xdr:rowOff>38100</xdr:rowOff>
    </xdr:to>
    <xdr:sp macro="" textlink="">
      <xdr:nvSpPr>
        <xdr:cNvPr id="4" name="Text Box 4"/>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30</xdr:row>
      <xdr:rowOff>0</xdr:rowOff>
    </xdr:from>
    <xdr:to>
      <xdr:col>0</xdr:col>
      <xdr:colOff>0</xdr:colOff>
      <xdr:row>30</xdr:row>
      <xdr:rowOff>0</xdr:rowOff>
    </xdr:to>
    <xdr:sp macro="" textlink="">
      <xdr:nvSpPr>
        <xdr:cNvPr id="5" name="AutoShape 5"/>
        <xdr:cNvSpPr>
          <a:spLocks/>
        </xdr:cNvSpPr>
      </xdr:nvSpPr>
      <xdr:spPr bwMode="auto">
        <a:xfrm>
          <a:off x="0" y="661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30</xdr:row>
      <xdr:rowOff>0</xdr:rowOff>
    </xdr:from>
    <xdr:to>
      <xdr:col>0</xdr:col>
      <xdr:colOff>95250</xdr:colOff>
      <xdr:row>32</xdr:row>
      <xdr:rowOff>66675</xdr:rowOff>
    </xdr:to>
    <xdr:sp macro="" textlink="">
      <xdr:nvSpPr>
        <xdr:cNvPr id="6" name="Text Box 6"/>
        <xdr:cNvSpPr txBox="1">
          <a:spLocks noChangeArrowheads="1"/>
        </xdr:cNvSpPr>
      </xdr:nvSpPr>
      <xdr:spPr bwMode="auto">
        <a:xfrm>
          <a:off x="0" y="66103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180975</xdr:rowOff>
    </xdr:from>
    <xdr:ext cx="85725" cy="619125"/>
    <xdr:sp macro="" textlink="">
      <xdr:nvSpPr>
        <xdr:cNvPr id="7" name="Text Box 2"/>
        <xdr:cNvSpPr txBox="1">
          <a:spLocks noChangeArrowheads="1"/>
        </xdr:cNvSpPr>
      </xdr:nvSpPr>
      <xdr:spPr bwMode="auto">
        <a:xfrm>
          <a:off x="7429500" y="4438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23</xdr:row>
      <xdr:rowOff>0</xdr:rowOff>
    </xdr:from>
    <xdr:to>
      <xdr:col>4</xdr:col>
      <xdr:colOff>942975</xdr:colOff>
      <xdr:row>26</xdr:row>
      <xdr:rowOff>76200</xdr:rowOff>
    </xdr:to>
    <xdr:sp macro="" textlink="">
      <xdr:nvSpPr>
        <xdr:cNvPr id="8"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23</xdr:row>
      <xdr:rowOff>0</xdr:rowOff>
    </xdr:from>
    <xdr:ext cx="85725" cy="619125"/>
    <xdr:sp macro="" textlink="">
      <xdr:nvSpPr>
        <xdr:cNvPr id="9"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23</xdr:row>
      <xdr:rowOff>0</xdr:rowOff>
    </xdr:from>
    <xdr:to>
      <xdr:col>4</xdr:col>
      <xdr:colOff>942975</xdr:colOff>
      <xdr:row>26</xdr:row>
      <xdr:rowOff>76200</xdr:rowOff>
    </xdr:to>
    <xdr:sp macro="" textlink="">
      <xdr:nvSpPr>
        <xdr:cNvPr id="10"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23</xdr:row>
      <xdr:rowOff>0</xdr:rowOff>
    </xdr:from>
    <xdr:ext cx="85725" cy="619125"/>
    <xdr:sp macro="" textlink="">
      <xdr:nvSpPr>
        <xdr:cNvPr id="11"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2"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3"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4"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5"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18</xdr:row>
      <xdr:rowOff>180975</xdr:rowOff>
    </xdr:from>
    <xdr:ext cx="85725" cy="619125"/>
    <xdr:sp macro="" textlink="">
      <xdr:nvSpPr>
        <xdr:cNvPr id="16" name="Text Box 2"/>
        <xdr:cNvSpPr txBox="1">
          <a:spLocks noChangeArrowheads="1"/>
        </xdr:cNvSpPr>
      </xdr:nvSpPr>
      <xdr:spPr bwMode="auto">
        <a:xfrm>
          <a:off x="7429500" y="4257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781050</xdr:colOff>
      <xdr:row>20</xdr:row>
      <xdr:rowOff>447675</xdr:rowOff>
    </xdr:from>
    <xdr:ext cx="85725" cy="619125"/>
    <xdr:sp macro="" textlink="">
      <xdr:nvSpPr>
        <xdr:cNvPr id="17" name="Text Box 2"/>
        <xdr:cNvSpPr txBox="1">
          <a:spLocks noChangeArrowheads="1"/>
        </xdr:cNvSpPr>
      </xdr:nvSpPr>
      <xdr:spPr bwMode="auto">
        <a:xfrm>
          <a:off x="7353300" y="48006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39</xdr:row>
      <xdr:rowOff>0</xdr:rowOff>
    </xdr:from>
    <xdr:to>
      <xdr:col>0</xdr:col>
      <xdr:colOff>85725</xdr:colOff>
      <xdr:row>41</xdr:row>
      <xdr:rowOff>85725</xdr:rowOff>
    </xdr:to>
    <xdr:sp macro="" textlink="">
      <xdr:nvSpPr>
        <xdr:cNvPr id="1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1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95250</xdr:colOff>
      <xdr:row>41</xdr:row>
      <xdr:rowOff>114300</xdr:rowOff>
    </xdr:to>
    <xdr:sp macro="" textlink="">
      <xdr:nvSpPr>
        <xdr:cNvPr id="2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2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2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95250</xdr:colOff>
      <xdr:row>41</xdr:row>
      <xdr:rowOff>114300</xdr:rowOff>
    </xdr:to>
    <xdr:sp macro="" textlink="">
      <xdr:nvSpPr>
        <xdr:cNvPr id="2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866775</xdr:colOff>
      <xdr:row>18</xdr:row>
      <xdr:rowOff>447675</xdr:rowOff>
    </xdr:from>
    <xdr:to>
      <xdr:col>4</xdr:col>
      <xdr:colOff>952500</xdr:colOff>
      <xdr:row>21</xdr:row>
      <xdr:rowOff>57150</xdr:rowOff>
    </xdr:to>
    <xdr:sp macro="" textlink="">
      <xdr:nvSpPr>
        <xdr:cNvPr id="2" name="Text Box 2"/>
        <xdr:cNvSpPr txBox="1">
          <a:spLocks noChangeArrowheads="1"/>
        </xdr:cNvSpPr>
      </xdr:nvSpPr>
      <xdr:spPr bwMode="auto">
        <a:xfrm>
          <a:off x="7448550" y="84391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24</xdr:row>
      <xdr:rowOff>0</xdr:rowOff>
    </xdr:from>
    <xdr:to>
      <xdr:col>0</xdr:col>
      <xdr:colOff>85725</xdr:colOff>
      <xdr:row>26</xdr:row>
      <xdr:rowOff>85725</xdr:rowOff>
    </xdr:to>
    <xdr:sp macro="" textlink="">
      <xdr:nvSpPr>
        <xdr:cNvPr id="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95250</xdr:colOff>
      <xdr:row>26</xdr:row>
      <xdr:rowOff>114300</xdr:rowOff>
    </xdr:to>
    <xdr:sp macro="" textlink="">
      <xdr:nvSpPr>
        <xdr:cNvPr id="1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1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1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95250</xdr:colOff>
      <xdr:row>26</xdr:row>
      <xdr:rowOff>114300</xdr:rowOff>
    </xdr:to>
    <xdr:sp macro="" textlink="">
      <xdr:nvSpPr>
        <xdr:cNvPr id="1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857250</xdr:colOff>
      <xdr:row>49</xdr:row>
      <xdr:rowOff>0</xdr:rowOff>
    </xdr:from>
    <xdr:to>
      <xdr:col>4</xdr:col>
      <xdr:colOff>942975</xdr:colOff>
      <xdr:row>52</xdr:row>
      <xdr:rowOff>76200</xdr:rowOff>
    </xdr:to>
    <xdr:sp macro="" textlink="">
      <xdr:nvSpPr>
        <xdr:cNvPr id="2"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55</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55</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53</xdr:row>
      <xdr:rowOff>0</xdr:rowOff>
    </xdr:from>
    <xdr:to>
      <xdr:col>0</xdr:col>
      <xdr:colOff>95250</xdr:colOff>
      <xdr:row>55</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49</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49</xdr:row>
      <xdr:rowOff>0</xdr:rowOff>
    </xdr:from>
    <xdr:to>
      <xdr:col>0</xdr:col>
      <xdr:colOff>76200</xdr:colOff>
      <xdr:row>50</xdr:row>
      <xdr:rowOff>28575</xdr:rowOff>
    </xdr:to>
    <xdr:sp macro="" textlink="">
      <xdr:nvSpPr>
        <xdr:cNvPr id="8" name="Text Box 2"/>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9" name="Text Box 3"/>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0" name="Text Box 4"/>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1" name="Text Box 5"/>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2" name="Text Box 7"/>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3" name="Text Box 8"/>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4" name="Text Box 9"/>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5" name="Text Box 10"/>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6"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7"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56</xdr:row>
      <xdr:rowOff>114300</xdr:rowOff>
    </xdr:to>
    <xdr:sp macro="" textlink="">
      <xdr:nvSpPr>
        <xdr:cNvPr id="18"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9"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20"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56</xdr:row>
      <xdr:rowOff>114300</xdr:rowOff>
    </xdr:to>
    <xdr:sp macro="" textlink="">
      <xdr:nvSpPr>
        <xdr:cNvPr id="21"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857250</xdr:colOff>
      <xdr:row>31</xdr:row>
      <xdr:rowOff>0</xdr:rowOff>
    </xdr:from>
    <xdr:to>
      <xdr:col>3</xdr:col>
      <xdr:colOff>942975</xdr:colOff>
      <xdr:row>34</xdr:row>
      <xdr:rowOff>76200</xdr:rowOff>
    </xdr:to>
    <xdr:sp macro="" textlink="">
      <xdr:nvSpPr>
        <xdr:cNvPr id="2" name="Text Box 2"/>
        <xdr:cNvSpPr txBox="1">
          <a:spLocks noChangeArrowheads="1"/>
        </xdr:cNvSpPr>
      </xdr:nvSpPr>
      <xdr:spPr bwMode="auto">
        <a:xfrm>
          <a:off x="7467600"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3" name="Text Box 3"/>
        <xdr:cNvSpPr txBox="1">
          <a:spLocks noChangeArrowheads="1"/>
        </xdr:cNvSpPr>
      </xdr:nvSpPr>
      <xdr:spPr bwMode="auto">
        <a:xfrm>
          <a:off x="0" y="8267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4" name="Text Box 4"/>
        <xdr:cNvSpPr txBox="1">
          <a:spLocks noChangeArrowheads="1"/>
        </xdr:cNvSpPr>
      </xdr:nvSpPr>
      <xdr:spPr bwMode="auto">
        <a:xfrm>
          <a:off x="0" y="8267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5" name="AutoShape 5"/>
        <xdr:cNvSpPr>
          <a:spLocks/>
        </xdr:cNvSpPr>
      </xdr:nvSpPr>
      <xdr:spPr bwMode="auto">
        <a:xfrm>
          <a:off x="0" y="8267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6" name="Text Box 6"/>
        <xdr:cNvSpPr txBox="1">
          <a:spLocks noChangeArrowheads="1"/>
        </xdr:cNvSpPr>
      </xdr:nvSpPr>
      <xdr:spPr bwMode="auto">
        <a:xfrm>
          <a:off x="0" y="8267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857250</xdr:colOff>
      <xdr:row>31</xdr:row>
      <xdr:rowOff>0</xdr:rowOff>
    </xdr:from>
    <xdr:ext cx="85725" cy="619125"/>
    <xdr:sp macro="" textlink="">
      <xdr:nvSpPr>
        <xdr:cNvPr id="7" name="Text Box 2"/>
        <xdr:cNvSpPr txBox="1">
          <a:spLocks noChangeArrowheads="1"/>
        </xdr:cNvSpPr>
      </xdr:nvSpPr>
      <xdr:spPr bwMode="auto">
        <a:xfrm>
          <a:off x="7467600"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xdr:row>
      <xdr:rowOff>0</xdr:rowOff>
    </xdr:from>
    <xdr:ext cx="85725" cy="619125"/>
    <xdr:sp macro="" textlink="">
      <xdr:nvSpPr>
        <xdr:cNvPr id="8" name="Text Box 2"/>
        <xdr:cNvSpPr txBox="1">
          <a:spLocks noChangeArrowheads="1"/>
        </xdr:cNvSpPr>
      </xdr:nvSpPr>
      <xdr:spPr bwMode="auto">
        <a:xfrm>
          <a:off x="8677275"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xdr:row>
      <xdr:rowOff>0</xdr:rowOff>
    </xdr:from>
    <xdr:ext cx="85725" cy="619125"/>
    <xdr:sp macro="" textlink="">
      <xdr:nvSpPr>
        <xdr:cNvPr id="9" name="Text Box 2"/>
        <xdr:cNvSpPr txBox="1">
          <a:spLocks noChangeArrowheads="1"/>
        </xdr:cNvSpPr>
      </xdr:nvSpPr>
      <xdr:spPr bwMode="auto">
        <a:xfrm>
          <a:off x="8677275"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35</xdr:row>
      <xdr:rowOff>0</xdr:rowOff>
    </xdr:from>
    <xdr:to>
      <xdr:col>0</xdr:col>
      <xdr:colOff>85725</xdr:colOff>
      <xdr:row>37</xdr:row>
      <xdr:rowOff>85725</xdr:rowOff>
    </xdr:to>
    <xdr:sp macro="" textlink="">
      <xdr:nvSpPr>
        <xdr:cNvPr id="10"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35</xdr:row>
      <xdr:rowOff>0</xdr:rowOff>
    </xdr:from>
    <xdr:to>
      <xdr:col>0</xdr:col>
      <xdr:colOff>85725</xdr:colOff>
      <xdr:row>37</xdr:row>
      <xdr:rowOff>85725</xdr:rowOff>
    </xdr:to>
    <xdr:sp macro="" textlink="">
      <xdr:nvSpPr>
        <xdr:cNvPr id="11"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35</xdr:row>
      <xdr:rowOff>0</xdr:rowOff>
    </xdr:from>
    <xdr:to>
      <xdr:col>0</xdr:col>
      <xdr:colOff>95250</xdr:colOff>
      <xdr:row>37</xdr:row>
      <xdr:rowOff>114300</xdr:rowOff>
    </xdr:to>
    <xdr:sp macro="" textlink="">
      <xdr:nvSpPr>
        <xdr:cNvPr id="12"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us/Desktop/Fie%20-%20budgetopf&#248;lg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skladde"/>
      <sheetName val="Hent Data"/>
      <sheetName val="Vejledning"/>
      <sheetName val="Rapport"/>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externalLinkPath" Target="/Users/lani/AppData/Local/Temp/TRI85396/Sagsnr18-3976_Doknr57776-18_v1_Budgetopf&#248;lgning%2031.%20marts%202018(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3"/>
  <sheetViews>
    <sheetView zoomScaleNormal="100" workbookViewId="0">
      <selection activeCell="F19" sqref="A2:F19"/>
    </sheetView>
  </sheetViews>
  <sheetFormatPr defaultRowHeight="12.75" x14ac:dyDescent="0.2"/>
  <cols>
    <col min="1" max="1" width="32.28515625" style="1" customWidth="1"/>
    <col min="2" max="2" width="15.28515625" style="3" customWidth="1"/>
    <col min="3" max="4" width="12.42578125" customWidth="1"/>
    <col min="5" max="5" width="15.140625" customWidth="1"/>
    <col min="6" max="6" width="14" customWidth="1"/>
  </cols>
  <sheetData>
    <row r="1" spans="1:10" s="33" customFormat="1" ht="14.25" thickTop="1" thickBot="1" x14ac:dyDescent="0.25">
      <c r="A1" s="341" t="s">
        <v>15</v>
      </c>
      <c r="B1" s="342"/>
      <c r="C1" s="342"/>
      <c r="D1" s="342"/>
      <c r="E1" s="342"/>
      <c r="F1" s="343"/>
    </row>
    <row r="2" spans="1:10" s="33" customFormat="1" ht="27" customHeight="1" thickTop="1" thickBot="1" x14ac:dyDescent="0.25">
      <c r="A2" s="344" t="s">
        <v>185</v>
      </c>
      <c r="B2" s="346" t="s">
        <v>111</v>
      </c>
      <c r="C2" s="348" t="s">
        <v>112</v>
      </c>
      <c r="D2" s="350" t="s">
        <v>11</v>
      </c>
      <c r="E2" s="350" t="s">
        <v>137</v>
      </c>
      <c r="F2" s="352"/>
    </row>
    <row r="3" spans="1:10" s="33" customFormat="1" ht="27.75" customHeight="1" thickTop="1" x14ac:dyDescent="0.2">
      <c r="A3" s="345"/>
      <c r="B3" s="347"/>
      <c r="C3" s="349"/>
      <c r="D3" s="351"/>
      <c r="E3" s="302" t="s">
        <v>127</v>
      </c>
      <c r="F3" s="303" t="s">
        <v>114</v>
      </c>
    </row>
    <row r="4" spans="1:10" x14ac:dyDescent="0.2">
      <c r="A4" s="304" t="s">
        <v>168</v>
      </c>
      <c r="B4" s="305">
        <v>2123.0499</v>
      </c>
      <c r="C4" s="305">
        <f>Samlet!C10</f>
        <v>68.164937999999992</v>
      </c>
      <c r="D4" s="306">
        <f>B4+E4</f>
        <v>2132.5454169999998</v>
      </c>
      <c r="E4" s="307">
        <f>Samlet!E10-SUM('Fordelt på udgifter - Tabel'!E5:E8)</f>
        <v>9.4955169999999924</v>
      </c>
      <c r="F4" s="307">
        <f>D4-(B4+C4)</f>
        <v>-58.669421000000057</v>
      </c>
    </row>
    <row r="5" spans="1:10" ht="27" customHeight="1" x14ac:dyDescent="0.2">
      <c r="A5" s="304" t="s">
        <v>169</v>
      </c>
      <c r="B5" s="305">
        <f>589.2+65.3</f>
        <v>654.5</v>
      </c>
      <c r="C5" s="305"/>
      <c r="D5" s="306">
        <f>B5+E5</f>
        <v>649.70000000000005</v>
      </c>
      <c r="E5" s="307">
        <f>'A &amp; I'!D34</f>
        <v>-4.8</v>
      </c>
      <c r="F5" s="307">
        <f>D5-(B5+C5)</f>
        <v>-4.7999999999999545</v>
      </c>
    </row>
    <row r="6" spans="1:10" s="4" customFormat="1" x14ac:dyDescent="0.2">
      <c r="A6" s="304" t="s">
        <v>170</v>
      </c>
      <c r="B6" s="305">
        <f>'S &amp; S'!B8</f>
        <v>200</v>
      </c>
      <c r="C6" s="305"/>
      <c r="D6" s="306">
        <f>B6+E6</f>
        <v>200</v>
      </c>
      <c r="E6" s="307">
        <f>'S &amp; S'!E8</f>
        <v>0</v>
      </c>
      <c r="F6" s="307">
        <f t="shared" ref="F6:F8" si="0">D6-(B6+C6)</f>
        <v>0</v>
      </c>
    </row>
    <row r="7" spans="1:10" s="4" customFormat="1" x14ac:dyDescent="0.2">
      <c r="A7" s="304" t="s">
        <v>171</v>
      </c>
      <c r="B7" s="305">
        <v>-7.9</v>
      </c>
      <c r="C7" s="305"/>
      <c r="D7" s="306">
        <f>B7+'B &amp; L'!E31</f>
        <v>-7.9</v>
      </c>
      <c r="E7" s="307">
        <f>D7-B7</f>
        <v>0</v>
      </c>
      <c r="F7" s="307">
        <f t="shared" si="0"/>
        <v>0</v>
      </c>
    </row>
    <row r="8" spans="1:10" s="4" customFormat="1" ht="13.5" thickBot="1" x14ac:dyDescent="0.25">
      <c r="A8" s="327" t="s">
        <v>79</v>
      </c>
      <c r="B8" s="329">
        <f>'S &amp; S'!B5</f>
        <v>-14.8</v>
      </c>
      <c r="C8" s="329"/>
      <c r="D8" s="328">
        <f>B8+E8</f>
        <v>-14.8</v>
      </c>
      <c r="E8" s="330">
        <f>'S &amp; S'!E5</f>
        <v>0</v>
      </c>
      <c r="F8" s="330">
        <f t="shared" si="0"/>
        <v>0</v>
      </c>
    </row>
    <row r="9" spans="1:10" s="4" customFormat="1" ht="14.25" thickTop="1" thickBot="1" x14ac:dyDescent="0.25">
      <c r="A9" s="312" t="s">
        <v>14</v>
      </c>
      <c r="B9" s="313">
        <f>SUM(B4:B8)</f>
        <v>2954.8498999999997</v>
      </c>
      <c r="C9" s="313">
        <f>SUM(C4:C8)</f>
        <v>68.164937999999992</v>
      </c>
      <c r="D9" s="314">
        <f>SUM(D4:D8)-0.1</f>
        <v>2959.4454169999999</v>
      </c>
      <c r="E9" s="315">
        <f>SUM(E4:E8)</f>
        <v>4.6955169999999926</v>
      </c>
      <c r="F9" s="315">
        <f>SUM(F4:F8)</f>
        <v>-63.469421000000011</v>
      </c>
      <c r="I9" s="252"/>
      <c r="J9" s="252"/>
    </row>
    <row r="10" spans="1:10" s="4" customFormat="1" ht="14.25" customHeight="1" thickTop="1" x14ac:dyDescent="0.2">
      <c r="A10" s="316"/>
      <c r="B10" s="317"/>
      <c r="C10" s="317"/>
      <c r="D10" s="318"/>
      <c r="E10" s="319"/>
      <c r="F10" s="320"/>
    </row>
    <row r="11" spans="1:10" s="4" customFormat="1" ht="14.25" hidden="1" customHeight="1" x14ac:dyDescent="0.2">
      <c r="A11" s="321" t="s">
        <v>6</v>
      </c>
      <c r="B11" s="322"/>
      <c r="C11" s="323"/>
      <c r="D11" s="322"/>
      <c r="E11" s="324"/>
      <c r="F11" s="325"/>
    </row>
    <row r="12" spans="1:10" ht="63.75" x14ac:dyDescent="0.2">
      <c r="A12" s="304" t="s">
        <v>184</v>
      </c>
      <c r="B12" s="306"/>
      <c r="C12" s="305"/>
      <c r="D12" s="306"/>
      <c r="E12" s="307">
        <f>82*0.0088</f>
        <v>0.72160000000000002</v>
      </c>
      <c r="F12" s="326">
        <f>E12</f>
        <v>0.72160000000000002</v>
      </c>
    </row>
    <row r="13" spans="1:10" ht="40.5" customHeight="1" thickBot="1" x14ac:dyDescent="0.25">
      <c r="A13" s="304" t="s">
        <v>139</v>
      </c>
      <c r="B13" s="306"/>
      <c r="C13" s="305"/>
      <c r="D13" s="306"/>
      <c r="E13" s="307">
        <f>3.4+1</f>
        <v>4.4000000000000004</v>
      </c>
      <c r="F13" s="326">
        <f>E13</f>
        <v>4.4000000000000004</v>
      </c>
    </row>
    <row r="14" spans="1:10" ht="14.25" hidden="1" customHeight="1" x14ac:dyDescent="0.2">
      <c r="A14" s="304" t="s">
        <v>7</v>
      </c>
      <c r="B14" s="306"/>
      <c r="C14" s="305"/>
      <c r="D14" s="306"/>
      <c r="E14" s="307"/>
      <c r="F14" s="326"/>
    </row>
    <row r="15" spans="1:10" ht="14.25" hidden="1" customHeight="1" x14ac:dyDescent="0.2">
      <c r="A15" s="304" t="s">
        <v>8</v>
      </c>
      <c r="B15" s="306"/>
      <c r="C15" s="305"/>
      <c r="D15" s="306"/>
      <c r="E15" s="307"/>
      <c r="F15" s="326"/>
    </row>
    <row r="16" spans="1:10" ht="14.25" hidden="1" customHeight="1" x14ac:dyDescent="0.2">
      <c r="A16" s="304" t="s">
        <v>9</v>
      </c>
      <c r="B16" s="306"/>
      <c r="C16" s="305"/>
      <c r="D16" s="306"/>
      <c r="E16" s="307"/>
      <c r="F16" s="326"/>
    </row>
    <row r="17" spans="1:6" ht="14.25" hidden="1" customHeight="1" x14ac:dyDescent="0.2">
      <c r="A17" s="327" t="s">
        <v>10</v>
      </c>
      <c r="B17" s="328"/>
      <c r="C17" s="329"/>
      <c r="D17" s="328"/>
      <c r="E17" s="330"/>
      <c r="F17" s="331"/>
    </row>
    <row r="18" spans="1:6" s="5" customFormat="1" ht="14.25" hidden="1" customHeight="1" thickBot="1" x14ac:dyDescent="0.25">
      <c r="A18" s="316"/>
      <c r="B18" s="317"/>
      <c r="C18" s="317"/>
      <c r="D18" s="318"/>
      <c r="E18" s="319"/>
      <c r="F18" s="320"/>
    </row>
    <row r="19" spans="1:6" s="5" customFormat="1" ht="14.25" customHeight="1" thickTop="1" thickBot="1" x14ac:dyDescent="0.25">
      <c r="A19" s="332" t="s">
        <v>0</v>
      </c>
      <c r="B19" s="333"/>
      <c r="C19" s="333"/>
      <c r="D19" s="334"/>
      <c r="E19" s="335">
        <f>SUM(E9:E18)</f>
        <v>9.8171169999999925</v>
      </c>
      <c r="F19" s="335">
        <f>SUM(F9:F18)</f>
        <v>-58.34782100000001</v>
      </c>
    </row>
    <row r="20" spans="1:6" ht="13.5" thickTop="1" x14ac:dyDescent="0.2">
      <c r="A20" s="299" t="s">
        <v>175</v>
      </c>
      <c r="B20" s="300"/>
      <c r="C20" s="301"/>
      <c r="D20" s="301"/>
      <c r="E20" s="301"/>
      <c r="F20" s="301"/>
    </row>
    <row r="33" spans="1:6" s="2" customFormat="1" x14ac:dyDescent="0.2">
      <c r="A33" s="1"/>
      <c r="B33" s="3"/>
      <c r="C33"/>
      <c r="D33"/>
      <c r="E33" s="8"/>
      <c r="F33"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8" id="{47BF2CE8-31A7-41E1-999F-1E021E9823B5}">
            <x14:iconSet custom="1">
              <x14:cfvo type="percent">
                <xm:f>0</xm:f>
              </x14:cfvo>
              <x14:cfvo type="num">
                <xm:f>0</xm:f>
              </x14:cfvo>
              <x14:cfvo type="num" gte="0">
                <xm:f>0</xm:f>
              </x14:cfvo>
              <x14:cfIcon iconSet="3TrafficLights1" iconId="2"/>
              <x14:cfIcon iconSet="3TrafficLights1" iconId="2"/>
              <x14:cfIcon iconSet="3TrafficLights1" iconId="0"/>
            </x14:iconSet>
          </x14:cfRule>
          <xm:sqref>E4:F19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4"/>
  <sheetViews>
    <sheetView workbookViewId="0">
      <selection activeCell="A2" sqref="A2:F10"/>
    </sheetView>
  </sheetViews>
  <sheetFormatPr defaultRowHeight="12.75" x14ac:dyDescent="0.2"/>
  <cols>
    <col min="1" max="1" width="21" style="1" customWidth="1"/>
    <col min="2" max="2" width="16.7109375" style="3" customWidth="1"/>
    <col min="3" max="3" width="15.7109375" customWidth="1"/>
    <col min="4" max="4" width="15" customWidth="1"/>
    <col min="5" max="5" width="13.85546875" customWidth="1"/>
    <col min="6" max="6" width="14.140625" customWidth="1"/>
  </cols>
  <sheetData>
    <row r="1" spans="1:6" s="33" customFormat="1" ht="15.75" thickTop="1" thickBot="1" x14ac:dyDescent="0.25">
      <c r="A1" s="353" t="s">
        <v>15</v>
      </c>
      <c r="B1" s="354"/>
      <c r="C1" s="354"/>
      <c r="D1" s="354"/>
      <c r="E1" s="354"/>
      <c r="F1" s="355"/>
    </row>
    <row r="2" spans="1:6" s="33" customFormat="1" ht="27" customHeight="1" thickTop="1" thickBot="1" x14ac:dyDescent="0.25">
      <c r="A2" s="344" t="s">
        <v>177</v>
      </c>
      <c r="B2" s="346" t="s">
        <v>111</v>
      </c>
      <c r="C2" s="348" t="s">
        <v>112</v>
      </c>
      <c r="D2" s="350" t="s">
        <v>11</v>
      </c>
      <c r="E2" s="350" t="s">
        <v>137</v>
      </c>
      <c r="F2" s="352"/>
    </row>
    <row r="3" spans="1:6" s="33" customFormat="1" ht="28.5" customHeight="1" thickTop="1" x14ac:dyDescent="0.2">
      <c r="A3" s="345"/>
      <c r="B3" s="347"/>
      <c r="C3" s="349"/>
      <c r="D3" s="351"/>
      <c r="E3" s="302" t="s">
        <v>127</v>
      </c>
      <c r="F3" s="303" t="s">
        <v>114</v>
      </c>
    </row>
    <row r="4" spans="1:6" ht="16.5" customHeight="1" x14ac:dyDescent="0.2">
      <c r="A4" s="304" t="s">
        <v>178</v>
      </c>
      <c r="B4" s="305">
        <f>Samlet!B4</f>
        <v>376.36200000000002</v>
      </c>
      <c r="C4" s="305">
        <f>Samlet!C4</f>
        <v>18</v>
      </c>
      <c r="D4" s="306">
        <f>Samlet!D4</f>
        <v>375.86199999999997</v>
      </c>
      <c r="E4" s="307">
        <f>Samlet!E4</f>
        <v>-0.49999999999998512</v>
      </c>
      <c r="F4" s="307">
        <f>Samlet!F4</f>
        <v>-18.500000000000021</v>
      </c>
    </row>
    <row r="5" spans="1:6" x14ac:dyDescent="0.2">
      <c r="A5" s="304" t="s">
        <v>179</v>
      </c>
      <c r="B5" s="305">
        <f>Samlet!B5</f>
        <v>119.7</v>
      </c>
      <c r="C5" s="305">
        <f>Samlet!C5</f>
        <v>3.094938</v>
      </c>
      <c r="D5" s="306">
        <f>Samlet!D5</f>
        <v>123.371579</v>
      </c>
      <c r="E5" s="307">
        <f>Samlet!E5</f>
        <v>3.6955169999999997</v>
      </c>
      <c r="F5" s="307">
        <f>Samlet!F5</f>
        <v>0.57664099999999507</v>
      </c>
    </row>
    <row r="6" spans="1:6" s="4" customFormat="1" x14ac:dyDescent="0.2">
      <c r="A6" s="304" t="s">
        <v>180</v>
      </c>
      <c r="B6" s="305">
        <f>Samlet!B6</f>
        <v>879.90000000000009</v>
      </c>
      <c r="C6" s="305">
        <f>Samlet!C6</f>
        <v>29.569999999999997</v>
      </c>
      <c r="D6" s="306">
        <f>Samlet!D6</f>
        <v>886.1</v>
      </c>
      <c r="E6" s="307">
        <f>Samlet!E6</f>
        <v>6.1999999999999886</v>
      </c>
      <c r="F6" s="307">
        <f>Samlet!F6</f>
        <v>-23.370000000000058</v>
      </c>
    </row>
    <row r="7" spans="1:6" s="4" customFormat="1" x14ac:dyDescent="0.2">
      <c r="A7" s="304" t="s">
        <v>181</v>
      </c>
      <c r="B7" s="305">
        <f>Samlet!B7</f>
        <v>77.7</v>
      </c>
      <c r="C7" s="305">
        <f>Samlet!C7</f>
        <v>2.5</v>
      </c>
      <c r="D7" s="306">
        <f>Samlet!D7</f>
        <v>79</v>
      </c>
      <c r="E7" s="307">
        <f>Samlet!E7</f>
        <v>1.2999999999999936</v>
      </c>
      <c r="F7" s="307">
        <f>Samlet!F7</f>
        <v>-1.2000000000000046</v>
      </c>
    </row>
    <row r="8" spans="1:6" s="4" customFormat="1" ht="18" customHeight="1" x14ac:dyDescent="0.2">
      <c r="A8" s="304" t="s">
        <v>182</v>
      </c>
      <c r="B8" s="305">
        <f>Samlet!B8</f>
        <v>849.9</v>
      </c>
      <c r="C8" s="305">
        <f>Samlet!C8</f>
        <v>14.999999999999998</v>
      </c>
      <c r="D8" s="306">
        <f>Samlet!D8</f>
        <v>848.69999999999993</v>
      </c>
      <c r="E8" s="307">
        <f>Samlet!E8</f>
        <v>-1.2000000000000051</v>
      </c>
      <c r="F8" s="307">
        <f>Samlet!F8</f>
        <v>-16.200000000000081</v>
      </c>
    </row>
    <row r="9" spans="1:6" s="4" customFormat="1" ht="26.25" thickBot="1" x14ac:dyDescent="0.25">
      <c r="A9" s="308" t="s">
        <v>183</v>
      </c>
      <c r="B9" s="309">
        <f>Samlet!B9</f>
        <v>651.20000000000005</v>
      </c>
      <c r="C9" s="309">
        <f>Samlet!C9</f>
        <v>0</v>
      </c>
      <c r="D9" s="310">
        <f>Samlet!D9</f>
        <v>646.4</v>
      </c>
      <c r="E9" s="311">
        <f>Samlet!E9</f>
        <v>-4.8</v>
      </c>
      <c r="F9" s="311">
        <f>Samlet!F9</f>
        <v>-4.8</v>
      </c>
    </row>
    <row r="10" spans="1:6" s="4" customFormat="1" ht="14.25" thickTop="1" thickBot="1" x14ac:dyDescent="0.25">
      <c r="A10" s="312" t="s">
        <v>14</v>
      </c>
      <c r="B10" s="313">
        <f>SUM(B4:B9)</f>
        <v>2954.7619999999997</v>
      </c>
      <c r="C10" s="313">
        <f>SUM(C4:C9)</f>
        <v>68.164937999999992</v>
      </c>
      <c r="D10" s="314">
        <f>SUM(D4:D9)</f>
        <v>2959.433579</v>
      </c>
      <c r="E10" s="315">
        <f>SUM(E4:E9)</f>
        <v>4.6955169999999926</v>
      </c>
      <c r="F10" s="315">
        <f>SUM(F4:F9)</f>
        <v>-63.493359000000162</v>
      </c>
    </row>
    <row r="11" spans="1:6" s="4" customFormat="1" ht="14.25" customHeight="1" thickTop="1" x14ac:dyDescent="0.2">
      <c r="A11" s="336"/>
      <c r="B11" s="337"/>
      <c r="C11" s="337"/>
      <c r="D11" s="338"/>
      <c r="E11" s="339"/>
      <c r="F11" s="340"/>
    </row>
    <row r="12" spans="1:6" s="4" customFormat="1" ht="26.25" customHeight="1" x14ac:dyDescent="0.2">
      <c r="A12" s="321" t="s">
        <v>6</v>
      </c>
      <c r="B12" s="322"/>
      <c r="C12" s="323"/>
      <c r="D12" s="322"/>
      <c r="E12" s="324"/>
      <c r="F12" s="325"/>
    </row>
    <row r="13" spans="1:6" ht="102" x14ac:dyDescent="0.2">
      <c r="A13" s="304" t="s">
        <v>138</v>
      </c>
      <c r="B13" s="306"/>
      <c r="C13" s="305"/>
      <c r="D13" s="306"/>
      <c r="E13" s="307">
        <f>Samlet!E13</f>
        <v>0.72160000000000002</v>
      </c>
      <c r="F13" s="326">
        <f>Samlet!F13</f>
        <v>0.72160000000000002</v>
      </c>
    </row>
    <row r="14" spans="1:6" ht="63.75" x14ac:dyDescent="0.2">
      <c r="A14" s="304" t="s">
        <v>139</v>
      </c>
      <c r="B14" s="306"/>
      <c r="C14" s="305"/>
      <c r="D14" s="306"/>
      <c r="E14" s="307">
        <f>Samlet!E14</f>
        <v>4.4000000000000004</v>
      </c>
      <c r="F14" s="326">
        <f>Samlet!F14</f>
        <v>4.4000000000000004</v>
      </c>
    </row>
    <row r="15" spans="1:6" ht="14.25" customHeight="1" x14ac:dyDescent="0.2">
      <c r="A15" s="304" t="s">
        <v>7</v>
      </c>
      <c r="B15" s="306"/>
      <c r="C15" s="305"/>
      <c r="D15" s="306"/>
      <c r="E15" s="307"/>
      <c r="F15" s="326"/>
    </row>
    <row r="16" spans="1:6" ht="14.25" customHeight="1" x14ac:dyDescent="0.2">
      <c r="A16" s="304" t="s">
        <v>8</v>
      </c>
      <c r="B16" s="306"/>
      <c r="C16" s="305"/>
      <c r="D16" s="306"/>
      <c r="E16" s="307"/>
      <c r="F16" s="326"/>
    </row>
    <row r="17" spans="1:6" ht="27.75" customHeight="1" x14ac:dyDescent="0.2">
      <c r="A17" s="304" t="s">
        <v>9</v>
      </c>
      <c r="B17" s="306"/>
      <c r="C17" s="305"/>
      <c r="D17" s="306"/>
      <c r="E17" s="307"/>
      <c r="F17" s="326"/>
    </row>
    <row r="18" spans="1:6" ht="14.25" customHeight="1" x14ac:dyDescent="0.2">
      <c r="A18" s="327" t="s">
        <v>10</v>
      </c>
      <c r="B18" s="328"/>
      <c r="C18" s="329"/>
      <c r="D18" s="328"/>
      <c r="E18" s="330"/>
      <c r="F18" s="331"/>
    </row>
    <row r="19" spans="1:6" s="5" customFormat="1" ht="14.25" customHeight="1" thickBot="1" x14ac:dyDescent="0.25">
      <c r="A19" s="316"/>
      <c r="B19" s="317"/>
      <c r="C19" s="317"/>
      <c r="D19" s="318"/>
      <c r="E19" s="319"/>
      <c r="F19" s="320"/>
    </row>
    <row r="20" spans="1:6" s="5" customFormat="1" ht="14.25" customHeight="1" thickTop="1" thickBot="1" x14ac:dyDescent="0.25">
      <c r="A20" s="332" t="s">
        <v>0</v>
      </c>
      <c r="B20" s="333"/>
      <c r="C20" s="333"/>
      <c r="D20" s="334"/>
      <c r="E20" s="335">
        <f>SUM(E10:E19)</f>
        <v>9.8171169999999925</v>
      </c>
      <c r="F20" s="335">
        <f>SUM(F10:F19)</f>
        <v>-58.371759000000161</v>
      </c>
    </row>
    <row r="21" spans="1:6" ht="13.5" thickTop="1" x14ac:dyDescent="0.2"/>
    <row r="34" spans="1:6" s="2" customFormat="1" x14ac:dyDescent="0.2">
      <c r="A34" s="1"/>
      <c r="B34" s="3"/>
      <c r="C34"/>
      <c r="D34"/>
      <c r="E34" s="8"/>
      <c r="F3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1" id="{6B100127-1F04-4F4B-9834-2A2D0ACA5DEB}">
            <x14:iconSet custom="1">
              <x14:cfvo type="percent">
                <xm:f>0</xm:f>
              </x14:cfvo>
              <x14:cfvo type="num">
                <xm:f>0</xm:f>
              </x14:cfvo>
              <x14:cfvo type="num" gte="0">
                <xm:f>0</xm:f>
              </x14:cfvo>
              <x14:cfIcon iconSet="3TrafficLights1" iconId="2"/>
              <x14:cfIcon iconSet="NoIcons" iconId="0"/>
              <x14:cfIcon iconSet="3TrafficLights1" iconId="0"/>
            </x14:iconSet>
          </x14:cfRule>
          <xm:sqref>E4:F20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4"/>
  <sheetViews>
    <sheetView tabSelected="1" zoomScaleNormal="100" workbookViewId="0">
      <selection activeCell="A11" sqref="A11"/>
    </sheetView>
  </sheetViews>
  <sheetFormatPr defaultRowHeight="12.75" x14ac:dyDescent="0.2"/>
  <cols>
    <col min="1" max="1" width="52.140625" style="1" customWidth="1"/>
    <col min="2" max="2" width="19.42578125" style="3" customWidth="1"/>
    <col min="3" max="3" width="16.140625" customWidth="1"/>
    <col min="4" max="4" width="15" customWidth="1"/>
    <col min="5" max="5" width="14.85546875" customWidth="1"/>
    <col min="6" max="6" width="15.85546875" customWidth="1"/>
  </cols>
  <sheetData>
    <row r="1" spans="1:6" s="33" customFormat="1" ht="17.25" thickTop="1" thickBot="1" x14ac:dyDescent="0.25">
      <c r="A1" s="356" t="s">
        <v>15</v>
      </c>
      <c r="B1" s="357"/>
      <c r="C1" s="357"/>
      <c r="D1" s="357"/>
      <c r="E1" s="357"/>
      <c r="F1" s="358"/>
    </row>
    <row r="2" spans="1:6" s="33" customFormat="1" ht="30" customHeight="1" thickTop="1" thickBot="1" x14ac:dyDescent="0.25">
      <c r="A2" s="359" t="s">
        <v>172</v>
      </c>
      <c r="B2" s="361" t="s">
        <v>111</v>
      </c>
      <c r="C2" s="363" t="s">
        <v>112</v>
      </c>
      <c r="D2" s="365" t="s">
        <v>11</v>
      </c>
      <c r="E2" s="365" t="s">
        <v>137</v>
      </c>
      <c r="F2" s="367"/>
    </row>
    <row r="3" spans="1:6" s="33" customFormat="1" ht="29.25" customHeight="1" thickTop="1" x14ac:dyDescent="0.2">
      <c r="A3" s="360"/>
      <c r="B3" s="362"/>
      <c r="C3" s="364"/>
      <c r="D3" s="366"/>
      <c r="E3" s="268" t="s">
        <v>127</v>
      </c>
      <c r="F3" s="269" t="s">
        <v>114</v>
      </c>
    </row>
    <row r="4" spans="1:6" ht="14.25" x14ac:dyDescent="0.2">
      <c r="A4" s="270" t="s">
        <v>1</v>
      </c>
      <c r="B4" s="271">
        <f>'Ø &amp; E'!B28</f>
        <v>376.36200000000002</v>
      </c>
      <c r="C4" s="271">
        <f>'Ø &amp; E'!C28</f>
        <v>18</v>
      </c>
      <c r="D4" s="272">
        <f>'Ø &amp; E'!D28</f>
        <v>375.86199999999997</v>
      </c>
      <c r="E4" s="273">
        <f>'Ø &amp; E'!E28</f>
        <v>-0.49999999999998512</v>
      </c>
      <c r="F4" s="273">
        <f>'Ø &amp; E'!F28</f>
        <v>-18.500000000000021</v>
      </c>
    </row>
    <row r="5" spans="1:6" ht="14.25" x14ac:dyDescent="0.2">
      <c r="A5" s="270" t="s">
        <v>2</v>
      </c>
      <c r="B5" s="271">
        <f>'P &amp; T'!B25</f>
        <v>119.7</v>
      </c>
      <c r="C5" s="271">
        <f>'P &amp; T'!C25</f>
        <v>3.094938</v>
      </c>
      <c r="D5" s="272">
        <f>'P &amp; T'!D25</f>
        <v>123.371579</v>
      </c>
      <c r="E5" s="273">
        <f>'P &amp; T'!E25</f>
        <v>3.6955169999999997</v>
      </c>
      <c r="F5" s="273">
        <f>'P &amp; T'!F25</f>
        <v>0.57664099999999507</v>
      </c>
    </row>
    <row r="6" spans="1:6" s="4" customFormat="1" ht="14.25" x14ac:dyDescent="0.2">
      <c r="A6" s="270" t="s">
        <v>13</v>
      </c>
      <c r="B6" s="271">
        <f>'B &amp; L'!B38</f>
        <v>879.90000000000009</v>
      </c>
      <c r="C6" s="271">
        <f>'B &amp; L'!C38</f>
        <v>29.569999999999997</v>
      </c>
      <c r="D6" s="272">
        <f>'B &amp; L'!D38</f>
        <v>886.1</v>
      </c>
      <c r="E6" s="273">
        <f>'B &amp; L'!E38</f>
        <v>6.1999999999999886</v>
      </c>
      <c r="F6" s="273">
        <f>'B &amp; L'!F38</f>
        <v>-23.370000000000058</v>
      </c>
    </row>
    <row r="7" spans="1:6" s="4" customFormat="1" ht="14.25" x14ac:dyDescent="0.2">
      <c r="A7" s="270" t="s">
        <v>3</v>
      </c>
      <c r="B7" s="271">
        <f>'K &amp; F'!B23</f>
        <v>77.7</v>
      </c>
      <c r="C7" s="271">
        <f>'K &amp; F'!C23</f>
        <v>2.5</v>
      </c>
      <c r="D7" s="272">
        <f>'K &amp; F'!D23</f>
        <v>79</v>
      </c>
      <c r="E7" s="273">
        <f>'K &amp; F'!E23</f>
        <v>1.2999999999999936</v>
      </c>
      <c r="F7" s="273">
        <f>'K &amp; F'!F23</f>
        <v>-1.2000000000000046</v>
      </c>
    </row>
    <row r="8" spans="1:6" s="4" customFormat="1" ht="14.25" x14ac:dyDescent="0.2">
      <c r="A8" s="270" t="s">
        <v>4</v>
      </c>
      <c r="B8" s="271">
        <f>'S &amp; S'!B53</f>
        <v>849.9</v>
      </c>
      <c r="C8" s="271">
        <f>'S &amp; S'!C53</f>
        <v>14.999999999999998</v>
      </c>
      <c r="D8" s="272">
        <f>'S &amp; S'!D53</f>
        <v>848.69999999999993</v>
      </c>
      <c r="E8" s="273">
        <f>'S &amp; S'!E53</f>
        <v>-1.2000000000000051</v>
      </c>
      <c r="F8" s="273">
        <f>'S &amp; S'!F53</f>
        <v>-16.200000000000081</v>
      </c>
    </row>
    <row r="9" spans="1:6" s="4" customFormat="1" ht="15" thickBot="1" x14ac:dyDescent="0.25">
      <c r="A9" s="274" t="s">
        <v>5</v>
      </c>
      <c r="B9" s="275">
        <f>'A &amp; I'!B34</f>
        <v>651.20000000000005</v>
      </c>
      <c r="C9" s="275"/>
      <c r="D9" s="276">
        <f>'A &amp; I'!C34</f>
        <v>646.4</v>
      </c>
      <c r="E9" s="277">
        <f>'A &amp; I'!D34</f>
        <v>-4.8</v>
      </c>
      <c r="F9" s="277">
        <f>E9</f>
        <v>-4.8</v>
      </c>
    </row>
    <row r="10" spans="1:6" s="4" customFormat="1" ht="16.5" thickTop="1" thickBot="1" x14ac:dyDescent="0.25">
      <c r="A10" s="278" t="s">
        <v>14</v>
      </c>
      <c r="B10" s="279">
        <f>SUM(B4:B9)</f>
        <v>2954.7619999999997</v>
      </c>
      <c r="C10" s="279">
        <f>SUM(C4:C9)</f>
        <v>68.164937999999992</v>
      </c>
      <c r="D10" s="280">
        <f>SUM(D4:D9)</f>
        <v>2959.433579</v>
      </c>
      <c r="E10" s="281">
        <f>SUM(E4:E9)</f>
        <v>4.6955169999999926</v>
      </c>
      <c r="F10" s="281">
        <f>SUM(F4:F9)</f>
        <v>-63.493359000000162</v>
      </c>
    </row>
    <row r="11" spans="1:6" s="4" customFormat="1" ht="14.25" customHeight="1" thickTop="1" x14ac:dyDescent="0.2">
      <c r="A11" s="282"/>
      <c r="B11" s="14"/>
      <c r="C11" s="14"/>
      <c r="D11" s="15"/>
      <c r="E11" s="64"/>
      <c r="F11" s="283"/>
    </row>
    <row r="12" spans="1:6" s="4" customFormat="1" ht="14.25" customHeight="1" x14ac:dyDescent="0.2">
      <c r="A12" s="284" t="s">
        <v>6</v>
      </c>
      <c r="B12" s="285"/>
      <c r="C12" s="286"/>
      <c r="D12" s="285"/>
      <c r="E12" s="287"/>
      <c r="F12" s="288"/>
    </row>
    <row r="13" spans="1:6" ht="42.75" x14ac:dyDescent="0.2">
      <c r="A13" s="270" t="s">
        <v>138</v>
      </c>
      <c r="B13" s="272"/>
      <c r="C13" s="271"/>
      <c r="D13" s="272"/>
      <c r="E13" s="273">
        <f>82*0.0088</f>
        <v>0.72160000000000002</v>
      </c>
      <c r="F13" s="289">
        <f>E13</f>
        <v>0.72160000000000002</v>
      </c>
    </row>
    <row r="14" spans="1:6" ht="28.5" x14ac:dyDescent="0.2">
      <c r="A14" s="270" t="s">
        <v>139</v>
      </c>
      <c r="B14" s="272"/>
      <c r="C14" s="271"/>
      <c r="D14" s="272"/>
      <c r="E14" s="273">
        <f>3.4+1</f>
        <v>4.4000000000000004</v>
      </c>
      <c r="F14" s="289">
        <f>E14</f>
        <v>4.4000000000000004</v>
      </c>
    </row>
    <row r="15" spans="1:6" ht="14.25" customHeight="1" x14ac:dyDescent="0.2">
      <c r="A15" s="270" t="s">
        <v>7</v>
      </c>
      <c r="B15" s="272"/>
      <c r="C15" s="271"/>
      <c r="D15" s="272"/>
      <c r="E15" s="273"/>
      <c r="F15" s="289"/>
    </row>
    <row r="16" spans="1:6" ht="14.25" customHeight="1" x14ac:dyDescent="0.2">
      <c r="A16" s="270" t="s">
        <v>8</v>
      </c>
      <c r="B16" s="272"/>
      <c r="C16" s="271"/>
      <c r="D16" s="272"/>
      <c r="E16" s="273"/>
      <c r="F16" s="289"/>
    </row>
    <row r="17" spans="1:6" ht="14.25" customHeight="1" x14ac:dyDescent="0.2">
      <c r="A17" s="270" t="s">
        <v>9</v>
      </c>
      <c r="B17" s="272"/>
      <c r="C17" s="271"/>
      <c r="D17" s="272"/>
      <c r="E17" s="273"/>
      <c r="F17" s="289"/>
    </row>
    <row r="18" spans="1:6" ht="14.25" customHeight="1" x14ac:dyDescent="0.2">
      <c r="A18" s="290" t="s">
        <v>10</v>
      </c>
      <c r="B18" s="291"/>
      <c r="C18" s="292"/>
      <c r="D18" s="291"/>
      <c r="E18" s="293"/>
      <c r="F18" s="294"/>
    </row>
    <row r="19" spans="1:6" s="5" customFormat="1" ht="14.25" customHeight="1" thickBot="1" x14ac:dyDescent="0.25">
      <c r="A19" s="282"/>
      <c r="B19" s="14"/>
      <c r="C19" s="14"/>
      <c r="D19" s="15"/>
      <c r="E19" s="64"/>
      <c r="F19" s="283"/>
    </row>
    <row r="20" spans="1:6" s="5" customFormat="1" ht="14.25" customHeight="1" thickTop="1" thickBot="1" x14ac:dyDescent="0.25">
      <c r="A20" s="295" t="s">
        <v>0</v>
      </c>
      <c r="B20" s="296"/>
      <c r="C20" s="296"/>
      <c r="D20" s="297"/>
      <c r="E20" s="298">
        <f>SUM(E10:E19)</f>
        <v>9.8171169999999925</v>
      </c>
      <c r="F20" s="298">
        <f>SUM(F10:F19)</f>
        <v>-58.371759000000161</v>
      </c>
    </row>
    <row r="21" spans="1:6" ht="13.5" thickTop="1" x14ac:dyDescent="0.2"/>
    <row r="34" spans="1:6" s="2" customFormat="1" x14ac:dyDescent="0.2">
      <c r="A34" s="1"/>
      <c r="B34" s="3"/>
      <c r="C34"/>
      <c r="D34"/>
      <c r="E34" s="8"/>
      <c r="F3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A9175E20-B715-46BA-84AA-64C668DAB0AB}">
            <x14:iconSet custom="1">
              <x14:cfvo type="percent">
                <xm:f>0</xm:f>
              </x14:cfvo>
              <x14:cfvo type="num">
                <xm:f>0</xm:f>
              </x14:cfvo>
              <x14:cfvo type="num" gte="0">
                <xm:f>0</xm:f>
              </x14:cfvo>
              <x14:cfIcon iconSet="3TrafficLights1" iconId="2"/>
              <x14:cfIcon iconSet="NoIcons" iconId="0"/>
              <x14:cfIcon iconSet="3TrafficLights1" iconId="0"/>
            </x14:iconSet>
          </x14:cfRule>
          <xm:sqref>E4:F20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32"/>
  <sheetViews>
    <sheetView zoomScaleNormal="100" workbookViewId="0">
      <selection activeCell="B6" sqref="B6"/>
    </sheetView>
  </sheetViews>
  <sheetFormatPr defaultRowHeight="12.75" x14ac:dyDescent="0.2"/>
  <cols>
    <col min="1" max="1" width="60.42578125" style="60" customWidth="1"/>
    <col min="2" max="2" width="17" style="61" customWidth="1"/>
    <col min="3" max="3" width="13.42578125" style="33" customWidth="1"/>
    <col min="4" max="4" width="12.7109375" style="33" customWidth="1"/>
    <col min="5" max="5" width="18.140625" style="33" bestFit="1" customWidth="1"/>
    <col min="6" max="6" width="16.42578125" style="62" bestFit="1" customWidth="1"/>
    <col min="7" max="16384" width="9.140625" style="33"/>
  </cols>
  <sheetData>
    <row r="1" spans="1:6" ht="18" x14ac:dyDescent="0.2">
      <c r="A1" s="368" t="s">
        <v>15</v>
      </c>
      <c r="B1" s="369"/>
      <c r="C1" s="369"/>
      <c r="D1" s="369"/>
      <c r="E1" s="369"/>
      <c r="F1" s="370"/>
    </row>
    <row r="2" spans="1:6" ht="27.75" customHeight="1" thickBot="1" x14ac:dyDescent="0.25">
      <c r="A2" s="371" t="s">
        <v>1</v>
      </c>
      <c r="B2" s="373" t="s">
        <v>111</v>
      </c>
      <c r="C2" s="375" t="s">
        <v>112</v>
      </c>
      <c r="D2" s="377" t="s">
        <v>11</v>
      </c>
      <c r="E2" s="377" t="s">
        <v>126</v>
      </c>
      <c r="F2" s="379"/>
    </row>
    <row r="3" spans="1:6" ht="14.25" customHeight="1" thickTop="1" x14ac:dyDescent="0.2">
      <c r="A3" s="372"/>
      <c r="B3" s="374"/>
      <c r="C3" s="376"/>
      <c r="D3" s="378"/>
      <c r="E3" s="264" t="s">
        <v>113</v>
      </c>
      <c r="F3" s="262" t="s">
        <v>114</v>
      </c>
    </row>
    <row r="4" spans="1:6" ht="14.25" customHeight="1" x14ac:dyDescent="0.25">
      <c r="A4" s="72" t="s">
        <v>58</v>
      </c>
      <c r="B4" s="148">
        <f>B7+B5</f>
        <v>14.9</v>
      </c>
      <c r="C4" s="73">
        <v>1</v>
      </c>
      <c r="D4" s="148">
        <f>D7+D5</f>
        <v>14.9</v>
      </c>
      <c r="E4" s="131">
        <f>D4-B4</f>
        <v>0</v>
      </c>
      <c r="F4" s="77">
        <f>D4-(B4+C4)</f>
        <v>-1</v>
      </c>
    </row>
    <row r="5" spans="1:6" ht="14.25" customHeight="1" x14ac:dyDescent="0.25">
      <c r="A5" s="100" t="s">
        <v>59</v>
      </c>
      <c r="B5" s="101">
        <v>13.4</v>
      </c>
      <c r="C5" s="102">
        <v>0</v>
      </c>
      <c r="D5" s="101">
        <v>13.4</v>
      </c>
      <c r="E5" s="127">
        <f>D5-B5</f>
        <v>0</v>
      </c>
      <c r="F5" s="156">
        <f>D5-(B5+C5)</f>
        <v>0</v>
      </c>
    </row>
    <row r="6" spans="1:6" s="44" customFormat="1" ht="28.5" x14ac:dyDescent="0.2">
      <c r="A6" s="110" t="s">
        <v>148</v>
      </c>
      <c r="B6" s="103"/>
      <c r="C6" s="104"/>
      <c r="D6" s="103"/>
      <c r="E6" s="132"/>
      <c r="F6" s="89"/>
    </row>
    <row r="7" spans="1:6" s="44" customFormat="1" ht="14.25" customHeight="1" x14ac:dyDescent="0.25">
      <c r="A7" s="100" t="s">
        <v>60</v>
      </c>
      <c r="B7" s="101">
        <v>1.5</v>
      </c>
      <c r="C7" s="102">
        <v>1</v>
      </c>
      <c r="D7" s="101">
        <v>1.5</v>
      </c>
      <c r="E7" s="127">
        <f>D7-B7</f>
        <v>0</v>
      </c>
      <c r="F7" s="156">
        <f>D7-(B7+C7)</f>
        <v>-1</v>
      </c>
    </row>
    <row r="8" spans="1:6" s="44" customFormat="1" ht="14.25" customHeight="1" x14ac:dyDescent="0.2">
      <c r="A8" s="105"/>
      <c r="B8" s="106"/>
      <c r="C8" s="107"/>
      <c r="D8" s="106"/>
      <c r="E8" s="133"/>
      <c r="F8" s="81"/>
    </row>
    <row r="9" spans="1:6" s="44" customFormat="1" ht="14.25" customHeight="1" x14ac:dyDescent="0.25">
      <c r="A9" s="82" t="s">
        <v>61</v>
      </c>
      <c r="B9" s="108">
        <v>1.7</v>
      </c>
      <c r="C9" s="109">
        <v>0.1</v>
      </c>
      <c r="D9" s="108">
        <v>1.9</v>
      </c>
      <c r="E9" s="131">
        <f>D9-B9</f>
        <v>0.19999999999999996</v>
      </c>
      <c r="F9" s="85">
        <f>D9-(B9+C9)</f>
        <v>9.9999999999999867E-2</v>
      </c>
    </row>
    <row r="10" spans="1:6" s="44" customFormat="1" ht="14.25" customHeight="1" x14ac:dyDescent="0.2">
      <c r="A10" s="105"/>
      <c r="B10" s="107"/>
      <c r="C10" s="107"/>
      <c r="D10" s="106"/>
      <c r="E10" s="133"/>
      <c r="F10" s="81"/>
    </row>
    <row r="11" spans="1:6" s="44" customFormat="1" ht="14.25" customHeight="1" x14ac:dyDescent="0.25">
      <c r="A11" s="82" t="s">
        <v>65</v>
      </c>
      <c r="B11" s="108">
        <f>B19+B17+B14+B12</f>
        <v>359.762</v>
      </c>
      <c r="C11" s="109">
        <v>16.899999999999999</v>
      </c>
      <c r="D11" s="108">
        <f>D12+D14+D17+D19</f>
        <v>359.06199999999995</v>
      </c>
      <c r="E11" s="131">
        <f>E19+E17+E14+E12</f>
        <v>-0.69999999999998508</v>
      </c>
      <c r="F11" s="85">
        <f>D11-(B11+C11)</f>
        <v>-17.600000000000023</v>
      </c>
    </row>
    <row r="12" spans="1:6" s="44" customFormat="1" ht="14.25" customHeight="1" x14ac:dyDescent="0.25">
      <c r="A12" s="100" t="s">
        <v>62</v>
      </c>
      <c r="B12" s="101">
        <v>11.1</v>
      </c>
      <c r="C12" s="102">
        <v>1.1000000000000001</v>
      </c>
      <c r="D12" s="101">
        <v>12.2</v>
      </c>
      <c r="E12" s="127">
        <f>D12-B12</f>
        <v>1.0999999999999996</v>
      </c>
      <c r="F12" s="40">
        <f>D12-(B12+C12)</f>
        <v>0</v>
      </c>
    </row>
    <row r="13" spans="1:6" s="44" customFormat="1" ht="40.5" customHeight="1" x14ac:dyDescent="0.2">
      <c r="A13" s="110" t="s">
        <v>76</v>
      </c>
      <c r="B13" s="104"/>
      <c r="C13" s="104"/>
      <c r="D13" s="103"/>
      <c r="E13" s="132"/>
      <c r="F13" s="89"/>
    </row>
    <row r="14" spans="1:6" ht="14.25" customHeight="1" x14ac:dyDescent="0.25">
      <c r="A14" s="100" t="s">
        <v>63</v>
      </c>
      <c r="B14" s="101">
        <v>283.7</v>
      </c>
      <c r="C14" s="102">
        <v>11.8</v>
      </c>
      <c r="D14" s="101">
        <v>286.5</v>
      </c>
      <c r="E14" s="127">
        <f>D14-B14</f>
        <v>2.8000000000000114</v>
      </c>
      <c r="F14" s="40">
        <f>D14-(B14+C14)</f>
        <v>-9</v>
      </c>
    </row>
    <row r="15" spans="1:6" ht="57" x14ac:dyDescent="0.2">
      <c r="A15" s="110" t="s">
        <v>150</v>
      </c>
      <c r="B15" s="103"/>
      <c r="C15" s="104"/>
      <c r="D15" s="103"/>
      <c r="E15" s="132">
        <v>5.8</v>
      </c>
      <c r="F15" s="89"/>
    </row>
    <row r="16" spans="1:6" ht="59.25" customHeight="1" x14ac:dyDescent="0.2">
      <c r="A16" s="110" t="s">
        <v>149</v>
      </c>
      <c r="B16" s="103"/>
      <c r="C16" s="104"/>
      <c r="D16" s="103"/>
      <c r="E16" s="132">
        <v>-3</v>
      </c>
      <c r="F16" s="89"/>
    </row>
    <row r="17" spans="1:8" ht="14.25" customHeight="1" x14ac:dyDescent="0.25">
      <c r="A17" s="100" t="s">
        <v>64</v>
      </c>
      <c r="B17" s="101">
        <v>8.8000000000000007</v>
      </c>
      <c r="C17" s="102">
        <v>1.1000000000000001</v>
      </c>
      <c r="D17" s="101">
        <v>9.9</v>
      </c>
      <c r="E17" s="127">
        <f>D17-B17</f>
        <v>1.0999999999999996</v>
      </c>
      <c r="F17" s="40">
        <f>D17-(B17+C17)</f>
        <v>0</v>
      </c>
    </row>
    <row r="18" spans="1:8" ht="15" customHeight="1" x14ac:dyDescent="0.2">
      <c r="A18" s="110"/>
      <c r="B18" s="104"/>
      <c r="C18" s="104"/>
      <c r="D18" s="103"/>
      <c r="E18" s="132"/>
      <c r="F18" s="89"/>
    </row>
    <row r="19" spans="1:8" ht="14.25" customHeight="1" x14ac:dyDescent="0.25">
      <c r="A19" s="100" t="s">
        <v>66</v>
      </c>
      <c r="B19" s="101">
        <f>49.8+6.362</f>
        <v>56.161999999999999</v>
      </c>
      <c r="C19" s="102">
        <v>2.9</v>
      </c>
      <c r="D19" s="101">
        <f>44.1+6.362</f>
        <v>50.462000000000003</v>
      </c>
      <c r="E19" s="127">
        <f>D19-B19</f>
        <v>-5.6999999999999957</v>
      </c>
      <c r="F19" s="214">
        <f>D19-(B19+C19)</f>
        <v>-8.5999999999999943</v>
      </c>
    </row>
    <row r="20" spans="1:8" ht="29.25" customHeight="1" x14ac:dyDescent="0.2">
      <c r="A20" s="190" t="s">
        <v>146</v>
      </c>
      <c r="B20" s="191"/>
      <c r="C20" s="191">
        <v>-4.9000000000000004</v>
      </c>
      <c r="D20" s="192"/>
      <c r="E20" s="193"/>
      <c r="F20" s="180"/>
    </row>
    <row r="21" spans="1:8" ht="45.75" customHeight="1" x14ac:dyDescent="0.2">
      <c r="A21" s="194" t="s">
        <v>145</v>
      </c>
      <c r="B21" s="195"/>
      <c r="C21" s="195">
        <v>4.9000000000000004</v>
      </c>
      <c r="D21" s="196"/>
      <c r="E21" s="197"/>
      <c r="F21" s="178"/>
    </row>
    <row r="22" spans="1:8" ht="14.25" customHeight="1" x14ac:dyDescent="0.2">
      <c r="A22" s="194" t="s">
        <v>77</v>
      </c>
      <c r="B22" s="195"/>
      <c r="C22" s="195">
        <v>2.9</v>
      </c>
      <c r="D22" s="196"/>
      <c r="E22" s="132">
        <v>0</v>
      </c>
      <c r="F22" s="178"/>
    </row>
    <row r="23" spans="1:8" ht="32.25" customHeight="1" x14ac:dyDescent="0.2">
      <c r="A23" s="110" t="s">
        <v>78</v>
      </c>
      <c r="B23" s="104"/>
      <c r="C23" s="104">
        <v>0</v>
      </c>
      <c r="D23" s="103"/>
      <c r="E23" s="132">
        <v>-1.5</v>
      </c>
      <c r="F23" s="89"/>
    </row>
    <row r="24" spans="1:8" ht="44.25" customHeight="1" x14ac:dyDescent="0.2">
      <c r="A24" s="110" t="s">
        <v>176</v>
      </c>
      <c r="B24" s="104"/>
      <c r="C24" s="104">
        <v>0</v>
      </c>
      <c r="D24" s="103"/>
      <c r="E24" s="132">
        <v>-4.2</v>
      </c>
      <c r="F24" s="89"/>
    </row>
    <row r="25" spans="1:8" ht="6.75" customHeight="1" x14ac:dyDescent="0.2">
      <c r="A25" s="105"/>
      <c r="B25" s="107"/>
      <c r="C25" s="107"/>
      <c r="D25" s="106"/>
      <c r="E25" s="133"/>
      <c r="F25" s="81"/>
    </row>
    <row r="26" spans="1:8" ht="14.25" customHeight="1" x14ac:dyDescent="0.2">
      <c r="A26" s="265" t="s">
        <v>12</v>
      </c>
      <c r="B26" s="59"/>
      <c r="C26" s="111"/>
      <c r="D26" s="71"/>
      <c r="E26" s="134">
        <f>E19+E16</f>
        <v>-8.6999999999999957</v>
      </c>
      <c r="F26" s="112">
        <f>F19+F14+F4</f>
        <v>-18.599999999999994</v>
      </c>
      <c r="H26" s="253"/>
    </row>
    <row r="27" spans="1:8" s="57" customFormat="1" ht="14.25" customHeight="1" x14ac:dyDescent="0.2">
      <c r="A27" s="265" t="s">
        <v>16</v>
      </c>
      <c r="B27" s="58"/>
      <c r="C27" s="58"/>
      <c r="D27" s="59"/>
      <c r="E27" s="135">
        <f>E17+E15+E12+E9+E7+E5</f>
        <v>8.1999999999999993</v>
      </c>
      <c r="F27" s="113">
        <f>F17+F12+F9</f>
        <v>9.9999999999999867E-2</v>
      </c>
    </row>
    <row r="28" spans="1:8" s="57" customFormat="1" ht="14.25" customHeight="1" thickBot="1" x14ac:dyDescent="0.25">
      <c r="A28" s="266" t="s">
        <v>0</v>
      </c>
      <c r="B28" s="114">
        <f>B4+B9+B11</f>
        <v>376.36200000000002</v>
      </c>
      <c r="C28" s="114">
        <f>C4+C9+C11</f>
        <v>18</v>
      </c>
      <c r="D28" s="115">
        <f>D4+D9+D11</f>
        <v>375.86199999999997</v>
      </c>
      <c r="E28" s="239">
        <f>E4+E9+E11</f>
        <v>-0.49999999999998512</v>
      </c>
      <c r="F28" s="237">
        <f>F4+F9+F11</f>
        <v>-18.500000000000021</v>
      </c>
    </row>
    <row r="29" spans="1:8" ht="13.5" thickTop="1" x14ac:dyDescent="0.2">
      <c r="A29" s="234"/>
      <c r="B29" s="235"/>
      <c r="C29" s="235"/>
      <c r="D29" s="235"/>
      <c r="E29" s="238"/>
      <c r="F29" s="236"/>
    </row>
    <row r="30" spans="1:8" x14ac:dyDescent="0.2">
      <c r="A30" s="213" t="s">
        <v>147</v>
      </c>
    </row>
    <row r="31" spans="1:8" x14ac:dyDescent="0.2">
      <c r="A31" s="213" t="s">
        <v>162</v>
      </c>
      <c r="B31" s="61">
        <f>C28-(E15+E17+E9+E7+E12)</f>
        <v>9.8000000000000007</v>
      </c>
      <c r="C31" s="61"/>
    </row>
    <row r="32" spans="1:8" x14ac:dyDescent="0.2">
      <c r="A32" s="213" t="s">
        <v>163</v>
      </c>
      <c r="B32" s="61">
        <f>-(E24+E23+E16)</f>
        <v>8.6999999999999993</v>
      </c>
      <c r="C32" s="6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4" id="{3CD95604-FB30-48C5-8DED-923C86B5494F}">
            <x14:iconSet custom="1">
              <x14:cfvo type="percent">
                <xm:f>0</xm:f>
              </x14:cfvo>
              <x14:cfvo type="num">
                <xm:f>0</xm:f>
              </x14:cfvo>
              <x14:cfvo type="num" gte="0">
                <xm:f>0</xm:f>
              </x14:cfvo>
              <x14:cfIcon iconSet="3TrafficLights1" iconId="2"/>
              <x14:cfIcon iconSet="3TrafficLights1" iconId="2"/>
              <x14:cfIcon iconSet="3TrafficLights1" iconId="0"/>
            </x14:iconSet>
          </x14:cfRule>
          <xm:sqref>E17:F21 E4:F14 E24:F25 F22:F23</xm:sqref>
        </x14:conditionalFormatting>
        <x14:conditionalFormatting xmlns:xm="http://schemas.microsoft.com/office/excel/2006/main">
          <x14:cfRule type="iconSet" priority="3" id="{61DF4C40-F5E2-4349-829C-5D750C5EDD41}">
            <x14:iconSet custom="1">
              <x14:cfvo type="percent">
                <xm:f>0</xm:f>
              </x14:cfvo>
              <x14:cfvo type="num">
                <xm:f>0</xm:f>
              </x14:cfvo>
              <x14:cfvo type="num" gte="0">
                <xm:f>0</xm:f>
              </x14:cfvo>
              <x14:cfIcon iconSet="3TrafficLights1" iconId="2"/>
              <x14:cfIcon iconSet="NoIcons" iconId="0"/>
              <x14:cfIcon iconSet="3TrafficLights1" iconId="0"/>
            </x14:iconSet>
          </x14:cfRule>
          <xm:sqref>E28:F28</xm:sqref>
        </x14:conditionalFormatting>
        <x14:conditionalFormatting xmlns:xm="http://schemas.microsoft.com/office/excel/2006/main">
          <x14:cfRule type="iconSet" priority="2" id="{C2122F26-8E33-4965-B66D-C42A750A2010}">
            <x14:iconSet custom="1">
              <x14:cfvo type="percent">
                <xm:f>0</xm:f>
              </x14:cfvo>
              <x14:cfvo type="num">
                <xm:f>0</xm:f>
              </x14:cfvo>
              <x14:cfvo type="num" gte="0">
                <xm:f>0</xm:f>
              </x14:cfvo>
              <x14:cfIcon iconSet="3TrafficLights1" iconId="2"/>
              <x14:cfIcon iconSet="3TrafficLights1" iconId="2"/>
              <x14:cfIcon iconSet="3TrafficLights1" iconId="0"/>
            </x14:iconSet>
          </x14:cfRule>
          <xm:sqref>E15:F16</xm:sqref>
        </x14:conditionalFormatting>
        <x14:conditionalFormatting xmlns:xm="http://schemas.microsoft.com/office/excel/2006/main">
          <x14:cfRule type="iconSet" priority="1" id="{644E6D9C-A6BD-41EC-9115-495AE66396E7}">
            <x14:iconSet custom="1">
              <x14:cfvo type="percent">
                <xm:f>0</xm:f>
              </x14:cfvo>
              <x14:cfvo type="num">
                <xm:f>0</xm:f>
              </x14:cfvo>
              <x14:cfvo type="num" gte="0">
                <xm:f>0</xm:f>
              </x14:cfvo>
              <x14:cfIcon iconSet="3TrafficLights1" iconId="2"/>
              <x14:cfIcon iconSet="3TrafficLights1" iconId="2"/>
              <x14:cfIcon iconSet="3TrafficLights1" iconId="0"/>
            </x14:iconSet>
          </x14:cfRule>
          <xm:sqref>E22:E23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9"/>
  <sheetViews>
    <sheetView workbookViewId="0">
      <selection activeCell="B4" sqref="B4"/>
    </sheetView>
  </sheetViews>
  <sheetFormatPr defaultRowHeight="12.75" x14ac:dyDescent="0.2"/>
  <cols>
    <col min="1" max="1" width="60.7109375" style="60" customWidth="1"/>
    <col min="2" max="2" width="17" style="61" customWidth="1"/>
    <col min="3" max="3" width="13.42578125" style="33" customWidth="1"/>
    <col min="4" max="4" width="13" style="33" customWidth="1"/>
    <col min="5" max="5" width="18.140625" style="33" bestFit="1" customWidth="1"/>
    <col min="6" max="6" width="16.42578125" style="62" bestFit="1" customWidth="1"/>
    <col min="7" max="16384" width="9.140625" style="33"/>
  </cols>
  <sheetData>
    <row r="1" spans="1:6" ht="18" x14ac:dyDescent="0.2">
      <c r="A1" s="368" t="s">
        <v>15</v>
      </c>
      <c r="B1" s="369"/>
      <c r="C1" s="369"/>
      <c r="D1" s="369"/>
      <c r="E1" s="369"/>
      <c r="F1" s="370"/>
    </row>
    <row r="2" spans="1:6" ht="30.75" customHeight="1" thickBot="1" x14ac:dyDescent="0.25">
      <c r="A2" s="371" t="s">
        <v>2</v>
      </c>
      <c r="B2" s="373" t="s">
        <v>111</v>
      </c>
      <c r="C2" s="375" t="s">
        <v>112</v>
      </c>
      <c r="D2" s="377" t="s">
        <v>11</v>
      </c>
      <c r="E2" s="377" t="s">
        <v>124</v>
      </c>
      <c r="F2" s="373"/>
    </row>
    <row r="3" spans="1:6" ht="14.25" customHeight="1" thickTop="1" x14ac:dyDescent="0.2">
      <c r="A3" s="372"/>
      <c r="B3" s="374"/>
      <c r="C3" s="376"/>
      <c r="D3" s="378"/>
      <c r="E3" s="34" t="s">
        <v>127</v>
      </c>
      <c r="F3" s="262" t="s">
        <v>114</v>
      </c>
    </row>
    <row r="4" spans="1:6" ht="14.25" customHeight="1" x14ac:dyDescent="0.25">
      <c r="A4" s="72" t="s">
        <v>71</v>
      </c>
      <c r="B4" s="73">
        <v>14.7</v>
      </c>
      <c r="C4" s="74">
        <v>0.194938</v>
      </c>
      <c r="D4" s="75">
        <v>14.642401</v>
      </c>
      <c r="E4" s="76">
        <v>0</v>
      </c>
      <c r="F4" s="77">
        <f>D4-(B4+C4)</f>
        <v>-0.25253700000000023</v>
      </c>
    </row>
    <row r="5" spans="1:6" ht="14.25" customHeight="1" x14ac:dyDescent="0.2">
      <c r="A5" s="105"/>
      <c r="B5" s="78"/>
      <c r="C5" s="78"/>
      <c r="D5" s="79"/>
      <c r="E5" s="80"/>
      <c r="F5" s="81"/>
    </row>
    <row r="6" spans="1:6" s="44" customFormat="1" ht="14.25" customHeight="1" x14ac:dyDescent="0.25">
      <c r="A6" s="82" t="s">
        <v>72</v>
      </c>
      <c r="B6" s="82">
        <v>11.7</v>
      </c>
      <c r="C6" s="82">
        <v>-2.5</v>
      </c>
      <c r="D6" s="83">
        <v>12.442774</v>
      </c>
      <c r="E6" s="84">
        <f>D6-B6</f>
        <v>0.74277400000000071</v>
      </c>
      <c r="F6" s="85">
        <f>D6-(B6+C6)</f>
        <v>3.2427740000000007</v>
      </c>
    </row>
    <row r="7" spans="1:6" s="44" customFormat="1" ht="42.75" x14ac:dyDescent="0.2">
      <c r="A7" s="125" t="s">
        <v>142</v>
      </c>
      <c r="B7" s="86"/>
      <c r="C7" s="86"/>
      <c r="D7" s="87"/>
      <c r="E7" s="88"/>
      <c r="F7" s="89"/>
    </row>
    <row r="8" spans="1:6" s="44" customFormat="1" ht="14.25" customHeight="1" x14ac:dyDescent="0.25">
      <c r="A8" s="72" t="s">
        <v>73</v>
      </c>
      <c r="B8" s="72">
        <v>12.8</v>
      </c>
      <c r="C8" s="72">
        <v>4.0999999999999996</v>
      </c>
      <c r="D8" s="75">
        <v>14.315538999999999</v>
      </c>
      <c r="E8" s="76">
        <f>D8-B8</f>
        <v>1.5155389999999986</v>
      </c>
      <c r="F8" s="77">
        <f>D8-(B8+C8)</f>
        <v>-2.5844609999999992</v>
      </c>
    </row>
    <row r="9" spans="1:6" s="44" customFormat="1" ht="42.75" x14ac:dyDescent="0.2">
      <c r="A9" s="171" t="s">
        <v>167</v>
      </c>
      <c r="B9" s="172"/>
      <c r="C9" s="172"/>
      <c r="D9" s="173"/>
      <c r="E9" s="170">
        <v>0.4</v>
      </c>
      <c r="F9" s="169"/>
    </row>
    <row r="10" spans="1:6" s="44" customFormat="1" ht="43.5" customHeight="1" x14ac:dyDescent="0.2">
      <c r="A10" s="174" t="s">
        <v>166</v>
      </c>
      <c r="B10" s="175"/>
      <c r="C10" s="175"/>
      <c r="D10" s="176"/>
      <c r="E10" s="177">
        <v>0.6</v>
      </c>
      <c r="F10" s="178"/>
    </row>
    <row r="11" spans="1:6" s="44" customFormat="1" ht="28.5" x14ac:dyDescent="0.2">
      <c r="A11" s="174" t="s">
        <v>164</v>
      </c>
      <c r="B11" s="175"/>
      <c r="C11" s="175"/>
      <c r="D11" s="176"/>
      <c r="E11" s="177">
        <v>0.5</v>
      </c>
      <c r="F11" s="178"/>
    </row>
    <row r="12" spans="1:6" s="44" customFormat="1" ht="15" customHeight="1" x14ac:dyDescent="0.2">
      <c r="A12" s="123" t="s">
        <v>122</v>
      </c>
      <c r="B12" s="78"/>
      <c r="C12" s="78"/>
      <c r="D12" s="79"/>
      <c r="E12" s="80"/>
      <c r="F12" s="81"/>
    </row>
    <row r="13" spans="1:6" s="44" customFormat="1" ht="14.25" customHeight="1" x14ac:dyDescent="0.25">
      <c r="A13" s="82" t="s">
        <v>60</v>
      </c>
      <c r="B13" s="82">
        <v>-0.2</v>
      </c>
      <c r="C13" s="82">
        <v>0.6</v>
      </c>
      <c r="D13" s="83">
        <v>0.43720399999999998</v>
      </c>
      <c r="E13" s="84">
        <f>D13-B13</f>
        <v>0.63720399999999999</v>
      </c>
      <c r="F13" s="85">
        <v>0</v>
      </c>
    </row>
    <row r="14" spans="1:6" s="44" customFormat="1" ht="14.25" customHeight="1" x14ac:dyDescent="0.2">
      <c r="A14" s="110"/>
      <c r="B14" s="86"/>
      <c r="C14" s="86"/>
      <c r="D14" s="87"/>
      <c r="E14" s="88"/>
      <c r="F14" s="89"/>
    </row>
    <row r="15" spans="1:6" s="44" customFormat="1" ht="14.25" customHeight="1" x14ac:dyDescent="0.25">
      <c r="A15" s="72" t="s">
        <v>74</v>
      </c>
      <c r="B15" s="72">
        <v>53.4</v>
      </c>
      <c r="C15" s="72">
        <v>-0.5</v>
      </c>
      <c r="D15" s="75">
        <v>54.207250999999999</v>
      </c>
      <c r="E15" s="76">
        <f>D15-B15</f>
        <v>0.80725100000000083</v>
      </c>
      <c r="F15" s="77">
        <f>D15-(B15+C15)</f>
        <v>1.3072510000000008</v>
      </c>
    </row>
    <row r="16" spans="1:6" s="44" customFormat="1" ht="44.25" customHeight="1" x14ac:dyDescent="0.2">
      <c r="A16" s="179" t="s">
        <v>165</v>
      </c>
      <c r="B16" s="172"/>
      <c r="C16" s="172"/>
      <c r="D16" s="173"/>
      <c r="E16" s="170">
        <v>1.3</v>
      </c>
      <c r="F16" s="180"/>
    </row>
    <row r="17" spans="1:6" s="44" customFormat="1" ht="28.5" x14ac:dyDescent="0.2">
      <c r="A17" s="124" t="s">
        <v>129</v>
      </c>
      <c r="B17" s="86"/>
      <c r="C17" s="86"/>
      <c r="D17" s="87"/>
      <c r="E17" s="155">
        <v>-0.5</v>
      </c>
      <c r="F17" s="89"/>
    </row>
    <row r="18" spans="1:6" s="44" customFormat="1" ht="14.25" x14ac:dyDescent="0.2">
      <c r="A18" s="125"/>
      <c r="B18" s="78"/>
      <c r="C18" s="78"/>
      <c r="D18" s="79"/>
      <c r="E18" s="80"/>
      <c r="F18" s="81"/>
    </row>
    <row r="19" spans="1:6" ht="14.25" customHeight="1" x14ac:dyDescent="0.25">
      <c r="A19" s="82" t="s">
        <v>67</v>
      </c>
      <c r="B19" s="82">
        <v>15.3</v>
      </c>
      <c r="C19" s="82">
        <v>1.2</v>
      </c>
      <c r="D19" s="90">
        <v>15.3</v>
      </c>
      <c r="E19" s="84">
        <f>D19-B19</f>
        <v>0</v>
      </c>
      <c r="F19" s="85">
        <f>D19-(B19+C19)</f>
        <v>-1.1999999999999993</v>
      </c>
    </row>
    <row r="20" spans="1:6" ht="14.25" customHeight="1" x14ac:dyDescent="0.2">
      <c r="A20" s="110"/>
      <c r="B20" s="86"/>
      <c r="C20" s="86"/>
      <c r="D20" s="87"/>
      <c r="E20" s="88"/>
      <c r="F20" s="89"/>
    </row>
    <row r="21" spans="1:6" ht="14.25" customHeight="1" x14ac:dyDescent="0.25">
      <c r="A21" s="72" t="s">
        <v>75</v>
      </c>
      <c r="B21" s="74">
        <v>12</v>
      </c>
      <c r="C21" s="74">
        <v>0</v>
      </c>
      <c r="D21" s="75">
        <v>12.02641</v>
      </c>
      <c r="E21" s="76">
        <v>0</v>
      </c>
      <c r="F21" s="77">
        <v>0</v>
      </c>
    </row>
    <row r="22" spans="1:6" ht="7.5" customHeight="1" x14ac:dyDescent="0.2">
      <c r="A22" s="105"/>
      <c r="B22" s="78"/>
      <c r="C22" s="78"/>
      <c r="D22" s="91"/>
      <c r="E22" s="92"/>
      <c r="F22" s="81"/>
    </row>
    <row r="23" spans="1:6" s="57" customFormat="1" ht="14.25" customHeight="1" x14ac:dyDescent="0.2">
      <c r="A23" s="265" t="s">
        <v>12</v>
      </c>
      <c r="B23" s="93"/>
      <c r="C23" s="94"/>
      <c r="D23" s="93"/>
      <c r="E23" s="95">
        <f>E17</f>
        <v>-0.5</v>
      </c>
      <c r="F23" s="254">
        <f>F19+F8+F4</f>
        <v>-4.0369979999999988</v>
      </c>
    </row>
    <row r="24" spans="1:6" s="57" customFormat="1" ht="14.25" customHeight="1" x14ac:dyDescent="0.2">
      <c r="A24" s="265" t="s">
        <v>16</v>
      </c>
      <c r="B24" s="96"/>
      <c r="C24" s="96"/>
      <c r="D24" s="97"/>
      <c r="E24" s="99">
        <f>E8+E13+E16+E19+E6</f>
        <v>4.1955169999999997</v>
      </c>
      <c r="F24" s="255">
        <f>F15+F6</f>
        <v>4.5500250000000015</v>
      </c>
    </row>
    <row r="25" spans="1:6" s="57" customFormat="1" ht="14.25" customHeight="1" thickBot="1" x14ac:dyDescent="0.25">
      <c r="A25" s="266" t="s">
        <v>0</v>
      </c>
      <c r="B25" s="114">
        <f>SUM(B4:B21)</f>
        <v>119.7</v>
      </c>
      <c r="C25" s="114">
        <f>SUM(C4:C21)</f>
        <v>3.094938</v>
      </c>
      <c r="D25" s="256">
        <f>SUM(D4:D21)</f>
        <v>123.371579</v>
      </c>
      <c r="E25" s="98">
        <f>SUM(E23:E24)</f>
        <v>3.6955169999999997</v>
      </c>
      <c r="F25" s="257">
        <f>D25-(B25+C25)</f>
        <v>0.57664099999999507</v>
      </c>
    </row>
    <row r="26" spans="1:6" ht="13.5" thickTop="1" x14ac:dyDescent="0.2"/>
    <row r="27" spans="1:6" x14ac:dyDescent="0.2">
      <c r="A27" s="213" t="s">
        <v>147</v>
      </c>
    </row>
    <row r="28" spans="1:6" x14ac:dyDescent="0.2">
      <c r="A28" s="213" t="s">
        <v>173</v>
      </c>
      <c r="B28" s="61">
        <f>-F25</f>
        <v>-0.57664099999999507</v>
      </c>
    </row>
    <row r="29" spans="1:6" x14ac:dyDescent="0.2">
      <c r="A29" s="213" t="s">
        <v>163</v>
      </c>
      <c r="B29" s="61">
        <v>0</v>
      </c>
    </row>
  </sheetData>
  <dataConsolidate>
    <dataRefs count="1">
      <dataRef ref="H5:H6" sheet="S &amp; S (3)" r:id="rId1"/>
    </dataRefs>
  </dataConsolidate>
  <mergeCells count="6">
    <mergeCell ref="A1:F1"/>
    <mergeCell ref="B2:B3"/>
    <mergeCell ref="C2:C3"/>
    <mergeCell ref="D2:D3"/>
    <mergeCell ref="E2:F2"/>
    <mergeCell ref="A2:A3"/>
  </mergeCells>
  <pageMargins left="0.51181102362204722" right="0.51181102362204722" top="0.55118110236220474" bottom="0.55118110236220474" header="0" footer="0"/>
  <pageSetup paperSize="9" orientation="landscape" horizontalDpi="300" verticalDpi="300" r:id="rId2"/>
  <drawing r:id="rId3"/>
  <extLst>
    <ext xmlns:x14="http://schemas.microsoft.com/office/spreadsheetml/2009/9/main" uri="{78C0D931-6437-407d-A8EE-F0AAD7539E65}">
      <x14:conditionalFormattings>
        <x14:conditionalFormatting xmlns:xm="http://schemas.microsoft.com/office/excel/2006/main">
          <x14:cfRule type="iconSet" priority="2" id="{8BB7A590-1DB9-490E-A74B-E928D740D57F}">
            <x14:iconSet custom="1">
              <x14:cfvo type="percent">
                <xm:f>0</xm:f>
              </x14:cfvo>
              <x14:cfvo type="num">
                <xm:f>0</xm:f>
              </x14:cfvo>
              <x14:cfvo type="num" gte="0">
                <xm:f>0</xm:f>
              </x14:cfvo>
              <x14:cfIcon iconSet="3TrafficLights1" iconId="2"/>
              <x14:cfIcon iconSet="3TrafficLights1" iconId="2"/>
              <x14:cfIcon iconSet="3TrafficLights1" iconId="0"/>
            </x14:iconSet>
          </x14:cfRule>
          <xm:sqref>E4:F21</xm:sqref>
        </x14:conditionalFormatting>
        <x14:conditionalFormatting xmlns:xm="http://schemas.microsoft.com/office/excel/2006/main">
          <x14:cfRule type="iconSet" priority="1" id="{4CD6FB76-6427-49A4-8E14-563F28E9FF70}">
            <x14:iconSet custom="1">
              <x14:cfvo type="percent">
                <xm:f>0</xm:f>
              </x14:cfvo>
              <x14:cfvo type="num">
                <xm:f>0</xm:f>
              </x14:cfvo>
              <x14:cfvo type="num" gte="0">
                <xm:f>0</xm:f>
              </x14:cfvo>
              <x14:cfIcon iconSet="3TrafficLights1" iconId="2"/>
              <x14:cfIcon iconSet="NoIcons" iconId="0"/>
              <x14:cfIcon iconSet="3TrafficLights1" iconId="0"/>
            </x14:iconSet>
          </x14:cfRule>
          <xm:sqref>E25:F25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5"/>
  <sheetViews>
    <sheetView topLeftCell="A17" zoomScaleNormal="100" workbookViewId="0">
      <selection activeCell="A6" sqref="A6"/>
    </sheetView>
  </sheetViews>
  <sheetFormatPr defaultRowHeight="12.75" x14ac:dyDescent="0.2"/>
  <cols>
    <col min="1" max="1" width="61" style="60" customWidth="1"/>
    <col min="2" max="2" width="16.7109375" style="61" customWidth="1"/>
    <col min="3" max="3" width="13.5703125" style="33" customWidth="1"/>
    <col min="4" max="4" width="12.42578125" style="33" customWidth="1"/>
    <col min="5" max="5" width="18.140625" style="33" bestFit="1" customWidth="1"/>
    <col min="6" max="6" width="16.42578125" style="62" bestFit="1" customWidth="1"/>
    <col min="7" max="16384" width="9.140625" style="33"/>
  </cols>
  <sheetData>
    <row r="1" spans="1:10" ht="18" x14ac:dyDescent="0.2">
      <c r="A1" s="368" t="s">
        <v>15</v>
      </c>
      <c r="B1" s="369"/>
      <c r="C1" s="369"/>
      <c r="D1" s="369"/>
      <c r="E1" s="369"/>
      <c r="F1" s="370"/>
    </row>
    <row r="2" spans="1:10" ht="27" customHeight="1" thickBot="1" x14ac:dyDescent="0.25">
      <c r="A2" s="371" t="s">
        <v>13</v>
      </c>
      <c r="B2" s="373" t="s">
        <v>111</v>
      </c>
      <c r="C2" s="375" t="s">
        <v>112</v>
      </c>
      <c r="D2" s="377" t="s">
        <v>11</v>
      </c>
      <c r="E2" s="377" t="s">
        <v>128</v>
      </c>
      <c r="F2" s="373"/>
    </row>
    <row r="3" spans="1:10" ht="14.25" customHeight="1" thickTop="1" x14ac:dyDescent="0.2">
      <c r="A3" s="372"/>
      <c r="B3" s="374"/>
      <c r="C3" s="376"/>
      <c r="D3" s="378"/>
      <c r="E3" s="34" t="s">
        <v>113</v>
      </c>
      <c r="F3" s="262" t="s">
        <v>114</v>
      </c>
    </row>
    <row r="4" spans="1:10" ht="14.25" customHeight="1" x14ac:dyDescent="0.25">
      <c r="A4" s="35" t="s">
        <v>20</v>
      </c>
      <c r="B4" s="36">
        <f>B5+B10+B12</f>
        <v>535.30000000000007</v>
      </c>
      <c r="C4" s="36">
        <f t="shared" ref="C4:D4" si="0">C5+C10+C12</f>
        <v>16.399999999999999</v>
      </c>
      <c r="D4" s="66">
        <f t="shared" si="0"/>
        <v>541.20000000000005</v>
      </c>
      <c r="E4" s="126">
        <f>E5+E10+E12</f>
        <v>5.8999999999999773</v>
      </c>
      <c r="F4" s="223">
        <f>F5+F10+F12</f>
        <v>-10.500000000000059</v>
      </c>
    </row>
    <row r="5" spans="1:10" ht="14.25" customHeight="1" x14ac:dyDescent="0.25">
      <c r="A5" s="37" t="s">
        <v>121</v>
      </c>
      <c r="B5" s="38">
        <v>501.8</v>
      </c>
      <c r="C5" s="38">
        <v>14.9</v>
      </c>
      <c r="D5" s="39">
        <f>501.8+5.9</f>
        <v>507.7</v>
      </c>
      <c r="E5" s="127">
        <f>D5-B5</f>
        <v>5.8999999999999773</v>
      </c>
      <c r="F5" s="214">
        <f>D5-(B5+C5)</f>
        <v>-9.0000000000000568</v>
      </c>
    </row>
    <row r="6" spans="1:10" s="44" customFormat="1" ht="28.5" x14ac:dyDescent="0.2">
      <c r="A6" s="181" t="s">
        <v>115</v>
      </c>
      <c r="B6" s="182"/>
      <c r="C6" s="182"/>
      <c r="D6" s="183"/>
      <c r="E6" s="184">
        <v>-2.1</v>
      </c>
      <c r="F6" s="224"/>
      <c r="H6" s="67"/>
    </row>
    <row r="7" spans="1:10" s="44" customFormat="1" ht="30" customHeight="1" x14ac:dyDescent="0.2">
      <c r="A7" s="185" t="s">
        <v>116</v>
      </c>
      <c r="B7" s="186"/>
      <c r="C7" s="186"/>
      <c r="D7" s="187"/>
      <c r="E7" s="188">
        <v>0.4</v>
      </c>
      <c r="F7" s="225"/>
    </row>
    <row r="8" spans="1:10" s="44" customFormat="1" ht="27.75" customHeight="1" x14ac:dyDescent="0.2">
      <c r="A8" s="41" t="s">
        <v>117</v>
      </c>
      <c r="B8" s="42"/>
      <c r="C8" s="42"/>
      <c r="D8" s="43"/>
      <c r="E8" s="136">
        <v>7.6</v>
      </c>
      <c r="F8" s="226"/>
      <c r="J8" s="67"/>
    </row>
    <row r="9" spans="1:10" s="44" customFormat="1" ht="14.25" x14ac:dyDescent="0.2">
      <c r="A9" s="41"/>
      <c r="B9" s="42"/>
      <c r="C9" s="42"/>
      <c r="D9" s="43"/>
      <c r="E9" s="128"/>
      <c r="F9" s="226"/>
    </row>
    <row r="10" spans="1:10" s="44" customFormat="1" ht="14.25" customHeight="1" x14ac:dyDescent="0.25">
      <c r="A10" s="37" t="s">
        <v>21</v>
      </c>
      <c r="B10" s="45">
        <v>17.899999999999999</v>
      </c>
      <c r="C10" s="45">
        <v>0.5</v>
      </c>
      <c r="D10" s="46">
        <v>17.899999999999999</v>
      </c>
      <c r="E10" s="127">
        <f>D10-B10</f>
        <v>0</v>
      </c>
      <c r="F10" s="214">
        <f>D10-(B10+C10)</f>
        <v>-0.5</v>
      </c>
    </row>
    <row r="11" spans="1:10" s="44" customFormat="1" ht="14.25" customHeight="1" x14ac:dyDescent="0.2">
      <c r="A11" s="47"/>
      <c r="B11" s="42"/>
      <c r="C11" s="42"/>
      <c r="D11" s="43"/>
      <c r="E11" s="128"/>
      <c r="F11" s="226"/>
    </row>
    <row r="12" spans="1:10" s="44" customFormat="1" ht="14.25" customHeight="1" x14ac:dyDescent="0.25">
      <c r="A12" s="37" t="s">
        <v>22</v>
      </c>
      <c r="B12" s="45">
        <v>15.6</v>
      </c>
      <c r="C12" s="45">
        <v>1</v>
      </c>
      <c r="D12" s="46">
        <v>15.6</v>
      </c>
      <c r="E12" s="127">
        <f>D12-B12</f>
        <v>0</v>
      </c>
      <c r="F12" s="214">
        <f>D12-(B12+C12)</f>
        <v>-1.0000000000000018</v>
      </c>
    </row>
    <row r="13" spans="1:10" s="44" customFormat="1" ht="14.25" customHeight="1" x14ac:dyDescent="0.2">
      <c r="A13" s="47"/>
      <c r="B13" s="42"/>
      <c r="C13" s="42"/>
      <c r="D13" s="43"/>
      <c r="E13" s="128"/>
      <c r="F13" s="226"/>
    </row>
    <row r="14" spans="1:10" ht="14.25" customHeight="1" x14ac:dyDescent="0.25">
      <c r="A14" s="48" t="s">
        <v>18</v>
      </c>
      <c r="B14" s="49">
        <f>B15</f>
        <v>26</v>
      </c>
      <c r="C14" s="49">
        <f t="shared" ref="C14:D14" si="1">C15</f>
        <v>0.7</v>
      </c>
      <c r="D14" s="50">
        <f t="shared" si="1"/>
        <v>26</v>
      </c>
      <c r="E14" s="126">
        <f>E15</f>
        <v>0</v>
      </c>
      <c r="F14" s="227">
        <f>F15</f>
        <v>-0.69999999999999929</v>
      </c>
    </row>
    <row r="15" spans="1:10" ht="14.25" customHeight="1" x14ac:dyDescent="0.25">
      <c r="A15" s="37" t="s">
        <v>118</v>
      </c>
      <c r="B15" s="38">
        <v>26</v>
      </c>
      <c r="C15" s="38">
        <v>0.7</v>
      </c>
      <c r="D15" s="39">
        <v>26</v>
      </c>
      <c r="E15" s="127">
        <f>D15-B15</f>
        <v>0</v>
      </c>
      <c r="F15" s="214">
        <f>D15-(B15+C15)</f>
        <v>-0.69999999999999929</v>
      </c>
    </row>
    <row r="16" spans="1:10" ht="14.25" customHeight="1" x14ac:dyDescent="0.2">
      <c r="A16" s="51"/>
      <c r="B16" s="52"/>
      <c r="C16" s="52"/>
      <c r="D16" s="53"/>
      <c r="E16" s="129"/>
      <c r="F16" s="228"/>
    </row>
    <row r="17" spans="1:6" ht="14.25" customHeight="1" x14ac:dyDescent="0.25">
      <c r="A17" s="48" t="s">
        <v>23</v>
      </c>
      <c r="B17" s="49">
        <f>B18+B20</f>
        <v>187.3</v>
      </c>
      <c r="C17" s="49">
        <f t="shared" ref="C17:D17" si="2">C18+C20</f>
        <v>4.03</v>
      </c>
      <c r="D17" s="50">
        <f t="shared" si="2"/>
        <v>187.60000000000002</v>
      </c>
      <c r="E17" s="126">
        <f>E18+E20</f>
        <v>0.30000000000001137</v>
      </c>
      <c r="F17" s="227">
        <f>F18+F20</f>
        <v>-3.730000000000004</v>
      </c>
    </row>
    <row r="18" spans="1:6" ht="14.25" customHeight="1" x14ac:dyDescent="0.25">
      <c r="A18" s="37" t="s">
        <v>24</v>
      </c>
      <c r="B18" s="38">
        <v>55.5</v>
      </c>
      <c r="C18" s="38">
        <v>0.2</v>
      </c>
      <c r="D18" s="39">
        <v>55.5</v>
      </c>
      <c r="E18" s="127">
        <f>D18-B18</f>
        <v>0</v>
      </c>
      <c r="F18" s="214">
        <f>D18-(B18+C18)</f>
        <v>-0.20000000000000284</v>
      </c>
    </row>
    <row r="19" spans="1:6" ht="14.25" customHeight="1" x14ac:dyDescent="0.2">
      <c r="A19" s="54"/>
      <c r="B19" s="42"/>
      <c r="C19" s="42"/>
      <c r="D19" s="43"/>
      <c r="E19" s="128"/>
      <c r="F19" s="229"/>
    </row>
    <row r="20" spans="1:6" ht="14.25" customHeight="1" x14ac:dyDescent="0.25">
      <c r="A20" s="37" t="s">
        <v>31</v>
      </c>
      <c r="B20" s="45">
        <f>187.3-55.5</f>
        <v>131.80000000000001</v>
      </c>
      <c r="C20" s="45">
        <v>3.83</v>
      </c>
      <c r="D20" s="46">
        <f>131.8+0.3</f>
        <v>132.10000000000002</v>
      </c>
      <c r="E20" s="127">
        <f>D20-B20</f>
        <v>0.30000000000001137</v>
      </c>
      <c r="F20" s="214">
        <f>D20-(B20+C20)</f>
        <v>-3.5300000000000011</v>
      </c>
    </row>
    <row r="21" spans="1:6" ht="42.75" x14ac:dyDescent="0.2">
      <c r="A21" s="189" t="s">
        <v>119</v>
      </c>
      <c r="B21" s="182"/>
      <c r="C21" s="182"/>
      <c r="D21" s="183"/>
      <c r="E21" s="184">
        <v>0.2</v>
      </c>
      <c r="F21" s="230"/>
    </row>
    <row r="22" spans="1:6" ht="28.5" x14ac:dyDescent="0.2">
      <c r="A22" s="55" t="s">
        <v>120</v>
      </c>
      <c r="B22" s="42"/>
      <c r="C22" s="42"/>
      <c r="D22" s="43"/>
      <c r="E22" s="136">
        <v>0.1</v>
      </c>
      <c r="F22" s="229"/>
    </row>
    <row r="23" spans="1:6" ht="14.25" customHeight="1" x14ac:dyDescent="0.2">
      <c r="A23" s="56"/>
      <c r="B23" s="52"/>
      <c r="C23" s="52"/>
      <c r="D23" s="53"/>
      <c r="E23" s="129"/>
      <c r="F23" s="231"/>
    </row>
    <row r="24" spans="1:6" ht="14.25" customHeight="1" x14ac:dyDescent="0.25">
      <c r="A24" s="48" t="s">
        <v>25</v>
      </c>
      <c r="B24" s="49">
        <f>B25+B27+B29+B31+B33</f>
        <v>131.29999999999998</v>
      </c>
      <c r="C24" s="49">
        <f>C25+C27+C29+C31+C33</f>
        <v>8.44</v>
      </c>
      <c r="D24" s="50">
        <f>D25+D27+D29+D31+D33</f>
        <v>131.29999999999998</v>
      </c>
      <c r="E24" s="126">
        <f>E25+E27+E29+E31+E33</f>
        <v>0</v>
      </c>
      <c r="F24" s="227">
        <f>F25+F27+F29+F31+F33</f>
        <v>-8.4399999999999942</v>
      </c>
    </row>
    <row r="25" spans="1:6" ht="14.25" customHeight="1" x14ac:dyDescent="0.25">
      <c r="A25" s="37" t="s">
        <v>26</v>
      </c>
      <c r="B25" s="38">
        <v>52.8</v>
      </c>
      <c r="C25" s="38">
        <f>1.273-0.259+3.896+1.036-1.536+0.346-0.691+1.018+0.061</f>
        <v>5.1440000000000001</v>
      </c>
      <c r="D25" s="39">
        <v>52.8</v>
      </c>
      <c r="E25" s="127">
        <f>D25-B25</f>
        <v>0</v>
      </c>
      <c r="F25" s="214">
        <f>D25-(B25+C25)</f>
        <v>-5.1439999999999984</v>
      </c>
    </row>
    <row r="26" spans="1:6" ht="14.25" customHeight="1" x14ac:dyDescent="0.2">
      <c r="A26" s="54"/>
      <c r="B26" s="42"/>
      <c r="C26" s="42"/>
      <c r="D26" s="43"/>
      <c r="E26" s="128"/>
      <c r="F26" s="229"/>
    </row>
    <row r="27" spans="1:6" s="57" customFormat="1" ht="14.25" customHeight="1" x14ac:dyDescent="0.25">
      <c r="A27" s="37" t="s">
        <v>27</v>
      </c>
      <c r="B27" s="45">
        <v>42.2</v>
      </c>
      <c r="C27" s="45">
        <v>1.1000000000000001</v>
      </c>
      <c r="D27" s="46">
        <v>42.2</v>
      </c>
      <c r="E27" s="127">
        <f>D27-B27</f>
        <v>0</v>
      </c>
      <c r="F27" s="214">
        <f>D27-(B27+C27)</f>
        <v>-1.1000000000000014</v>
      </c>
    </row>
    <row r="28" spans="1:6" s="57" customFormat="1" ht="14.25" customHeight="1" x14ac:dyDescent="0.2">
      <c r="A28" s="54"/>
      <c r="B28" s="42"/>
      <c r="C28" s="42"/>
      <c r="D28" s="43"/>
      <c r="E28" s="128"/>
      <c r="F28" s="229"/>
    </row>
    <row r="29" spans="1:6" s="57" customFormat="1" ht="14.25" customHeight="1" x14ac:dyDescent="0.25">
      <c r="A29" s="37" t="s">
        <v>30</v>
      </c>
      <c r="B29" s="45">
        <f>11.3+13.5+5.2+4.3+0.4</f>
        <v>34.699999999999996</v>
      </c>
      <c r="C29" s="45">
        <f>0.1+0.3-2.586+2.652+0.43</f>
        <v>0.89600000000000013</v>
      </c>
      <c r="D29" s="46">
        <v>34.700000000000003</v>
      </c>
      <c r="E29" s="127">
        <f>D29-B29</f>
        <v>0</v>
      </c>
      <c r="F29" s="214">
        <f>D29-(B29+C29)</f>
        <v>-0.89599999999999369</v>
      </c>
    </row>
    <row r="30" spans="1:6" s="57" customFormat="1" ht="14.25" customHeight="1" x14ac:dyDescent="0.2">
      <c r="A30" s="41"/>
      <c r="B30" s="42"/>
      <c r="C30" s="42"/>
      <c r="D30" s="43"/>
      <c r="E30" s="128"/>
      <c r="F30" s="229"/>
    </row>
    <row r="31" spans="1:6" ht="15" x14ac:dyDescent="0.25">
      <c r="A31" s="37" t="s">
        <v>28</v>
      </c>
      <c r="B31" s="45">
        <v>-3.2</v>
      </c>
      <c r="C31" s="45">
        <v>0.5</v>
      </c>
      <c r="D31" s="46">
        <v>-3.2</v>
      </c>
      <c r="E31" s="127">
        <f>D31-B31</f>
        <v>0</v>
      </c>
      <c r="F31" s="214">
        <f>D31-(B31+C31)</f>
        <v>-0.5</v>
      </c>
    </row>
    <row r="32" spans="1:6" ht="14.25" x14ac:dyDescent="0.2">
      <c r="A32" s="54"/>
      <c r="B32" s="42"/>
      <c r="C32" s="42"/>
      <c r="D32" s="43"/>
      <c r="E32" s="128"/>
      <c r="F32" s="229"/>
    </row>
    <row r="33" spans="1:6" ht="15" x14ac:dyDescent="0.25">
      <c r="A33" s="100" t="s">
        <v>29</v>
      </c>
      <c r="B33" s="45">
        <v>4.8</v>
      </c>
      <c r="C33" s="45">
        <v>0.8</v>
      </c>
      <c r="D33" s="46">
        <v>4.8</v>
      </c>
      <c r="E33" s="127">
        <f>D33-B33</f>
        <v>0</v>
      </c>
      <c r="F33" s="214">
        <f>D33-(B33+C33)</f>
        <v>-0.79999999999999982</v>
      </c>
    </row>
    <row r="34" spans="1:6" s="70" customFormat="1" ht="28.5" x14ac:dyDescent="0.25">
      <c r="A34" s="267" t="s">
        <v>125</v>
      </c>
      <c r="B34" s="68"/>
      <c r="C34" s="68"/>
      <c r="D34" s="69"/>
      <c r="E34" s="130"/>
      <c r="F34" s="232"/>
    </row>
    <row r="35" spans="1:6" s="70" customFormat="1" ht="15" x14ac:dyDescent="0.25">
      <c r="A35" s="125"/>
      <c r="B35" s="68"/>
      <c r="C35" s="68"/>
      <c r="D35" s="69"/>
      <c r="E35" s="130"/>
      <c r="F35" s="232"/>
    </row>
    <row r="36" spans="1:6" ht="15" customHeight="1" x14ac:dyDescent="0.2">
      <c r="A36" s="265" t="s">
        <v>12</v>
      </c>
      <c r="B36" s="71"/>
      <c r="C36" s="71"/>
      <c r="D36" s="71"/>
      <c r="E36" s="258">
        <f>E6</f>
        <v>-2.1</v>
      </c>
      <c r="F36" s="259">
        <f>F24+F17+F4+F14</f>
        <v>-23.370000000000058</v>
      </c>
    </row>
    <row r="37" spans="1:6" ht="15" customHeight="1" x14ac:dyDescent="0.2">
      <c r="A37" s="265" t="s">
        <v>16</v>
      </c>
      <c r="B37" s="58"/>
      <c r="C37" s="58"/>
      <c r="D37" s="59"/>
      <c r="E37" s="260">
        <f>E17+E8+E7</f>
        <v>8.3000000000000114</v>
      </c>
      <c r="F37" s="261">
        <v>0</v>
      </c>
    </row>
    <row r="38" spans="1:6" ht="16.5" thickBot="1" x14ac:dyDescent="0.25">
      <c r="A38" s="266" t="s">
        <v>0</v>
      </c>
      <c r="B38" s="114">
        <f>B24+B17+B4+B14</f>
        <v>879.90000000000009</v>
      </c>
      <c r="C38" s="114">
        <f>C24+C17+C4+C14</f>
        <v>29.569999999999997</v>
      </c>
      <c r="D38" s="115">
        <f>D24+D14+D17+D4</f>
        <v>886.1</v>
      </c>
      <c r="E38" s="98">
        <f>E24+E17+E4+E14</f>
        <v>6.1999999999999886</v>
      </c>
      <c r="F38" s="233">
        <f>F24+F17+F4+F14</f>
        <v>-23.370000000000058</v>
      </c>
    </row>
    <row r="39" spans="1:6" ht="13.5" thickTop="1" x14ac:dyDescent="0.2">
      <c r="C39" s="61"/>
      <c r="D39" s="61"/>
      <c r="E39" s="61"/>
    </row>
    <row r="40" spans="1:6" x14ac:dyDescent="0.2">
      <c r="D40" s="61"/>
    </row>
    <row r="41" spans="1:6" x14ac:dyDescent="0.2">
      <c r="A41" s="213" t="s">
        <v>147</v>
      </c>
    </row>
    <row r="42" spans="1:6" x14ac:dyDescent="0.2">
      <c r="A42" s="213" t="s">
        <v>162</v>
      </c>
      <c r="B42" s="61">
        <f>C38-(E22+E8)</f>
        <v>21.869999999999997</v>
      </c>
    </row>
    <row r="43" spans="1:6" x14ac:dyDescent="0.2">
      <c r="A43" s="213" t="s">
        <v>163</v>
      </c>
      <c r="B43" s="61">
        <f>-(E21+E6+E7)</f>
        <v>1.5</v>
      </c>
    </row>
    <row r="45" spans="1:6" x14ac:dyDescent="0.2">
      <c r="E45" s="63"/>
    </row>
  </sheetData>
  <dataConsolidate>
    <dataRefs count="1">
      <dataRef ref="H5:H6" sheet="S &amp; S (3)" r:id="rId1"/>
    </dataRefs>
  </dataConsolidate>
  <mergeCells count="6">
    <mergeCell ref="B2:B3"/>
    <mergeCell ref="C2:C3"/>
    <mergeCell ref="D2:D3"/>
    <mergeCell ref="E2:F2"/>
    <mergeCell ref="A1:F1"/>
    <mergeCell ref="A2:A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2" id="{53E73887-0F82-4055-8798-FF9ADF4FE98A}">
            <x14:iconSet custom="1">
              <x14:cfvo type="percent">
                <xm:f>0</xm:f>
              </x14:cfvo>
              <x14:cfvo type="num">
                <xm:f>0</xm:f>
              </x14:cfvo>
              <x14:cfvo type="num" gte="0">
                <xm:f>0</xm:f>
              </x14:cfvo>
              <x14:cfIcon iconSet="3TrafficLights1" iconId="2"/>
              <x14:cfIcon iconSet="3TrafficLights1" iconId="2"/>
              <x14:cfIcon iconSet="3TrafficLights1" iconId="0"/>
            </x14:iconSet>
          </x14:cfRule>
          <xm:sqref>E4:F33</xm:sqref>
        </x14:conditionalFormatting>
        <x14:conditionalFormatting xmlns:xm="http://schemas.microsoft.com/office/excel/2006/main">
          <x14:cfRule type="iconSet" priority="1" id="{E71703F9-D69E-46AD-AFCA-D6CBA586B868}">
            <x14:iconSet custom="1">
              <x14:cfvo type="percent">
                <xm:f>0</xm:f>
              </x14:cfvo>
              <x14:cfvo type="num">
                <xm:f>0</xm:f>
              </x14:cfvo>
              <x14:cfvo type="num" gte="0">
                <xm:f>0</xm:f>
              </x14:cfvo>
              <x14:cfIcon iconSet="3TrafficLights1" iconId="2"/>
              <x14:cfIcon iconSet="3TrafficLights1" iconId="2"/>
              <x14:cfIcon iconSet="3TrafficLights1" iconId="0"/>
            </x14:iconSet>
          </x14:cfRule>
          <xm:sqref>E38:F38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3"/>
  <sheetViews>
    <sheetView topLeftCell="A14" zoomScaleNormal="100" workbookViewId="0">
      <selection activeCell="A5" sqref="A5"/>
    </sheetView>
  </sheetViews>
  <sheetFormatPr defaultRowHeight="12.75" x14ac:dyDescent="0.2"/>
  <cols>
    <col min="1" max="1" width="55.42578125" style="1" customWidth="1"/>
    <col min="2" max="2" width="17" style="3" customWidth="1"/>
    <col min="3" max="3" width="13.5703125" customWidth="1"/>
    <col min="4" max="4" width="12.7109375" customWidth="1"/>
    <col min="5" max="5" width="18.140625" bestFit="1" customWidth="1"/>
    <col min="6" max="6" width="16.42578125" bestFit="1" customWidth="1"/>
  </cols>
  <sheetData>
    <row r="1" spans="1:6" ht="18" x14ac:dyDescent="0.2">
      <c r="A1" s="368" t="s">
        <v>15</v>
      </c>
      <c r="B1" s="369"/>
      <c r="C1" s="369"/>
      <c r="D1" s="369"/>
      <c r="E1" s="369"/>
      <c r="F1" s="370"/>
    </row>
    <row r="2" spans="1:6" ht="33.75" customHeight="1" thickBot="1" x14ac:dyDescent="0.25">
      <c r="A2" s="371" t="s">
        <v>3</v>
      </c>
      <c r="B2" s="373" t="s">
        <v>111</v>
      </c>
      <c r="C2" s="375" t="s">
        <v>112</v>
      </c>
      <c r="D2" s="377" t="s">
        <v>11</v>
      </c>
      <c r="E2" s="377" t="s">
        <v>128</v>
      </c>
      <c r="F2" s="380"/>
    </row>
    <row r="3" spans="1:6" ht="14.25" customHeight="1" thickTop="1" x14ac:dyDescent="0.2">
      <c r="A3" s="372"/>
      <c r="B3" s="374"/>
      <c r="C3" s="376"/>
      <c r="D3" s="378"/>
      <c r="E3" s="34" t="s">
        <v>113</v>
      </c>
      <c r="F3" s="240" t="s">
        <v>114</v>
      </c>
    </row>
    <row r="4" spans="1:6" ht="14.25" customHeight="1" x14ac:dyDescent="0.2">
      <c r="A4" s="158" t="s">
        <v>130</v>
      </c>
      <c r="B4" s="159">
        <v>23.1</v>
      </c>
      <c r="C4" s="159">
        <v>0.8</v>
      </c>
      <c r="D4" s="216">
        <v>23.9</v>
      </c>
      <c r="E4" s="163">
        <f>D4-B4</f>
        <v>0.79999999999999716</v>
      </c>
      <c r="F4" s="241">
        <f>D4-(B4+C4)</f>
        <v>0</v>
      </c>
    </row>
    <row r="5" spans="1:6" s="4" customFormat="1" ht="51" x14ac:dyDescent="0.2">
      <c r="A5" s="247" t="s">
        <v>151</v>
      </c>
      <c r="B5" s="14"/>
      <c r="C5" s="14"/>
      <c r="D5" s="15"/>
      <c r="E5" s="64">
        <v>0.8</v>
      </c>
      <c r="F5" s="242"/>
    </row>
    <row r="6" spans="1:6" s="4" customFormat="1" ht="15" x14ac:dyDescent="0.2">
      <c r="A6" s="158" t="s">
        <v>131</v>
      </c>
      <c r="B6" s="159">
        <v>15.9</v>
      </c>
      <c r="C6" s="159">
        <v>0</v>
      </c>
      <c r="D6" s="216">
        <v>15.7</v>
      </c>
      <c r="E6" s="163">
        <f>D6-B6</f>
        <v>-0.20000000000000107</v>
      </c>
      <c r="F6" s="241">
        <f>D6-(B6+C6)</f>
        <v>-0.20000000000000107</v>
      </c>
    </row>
    <row r="7" spans="1:6" s="4" customFormat="1" ht="51" x14ac:dyDescent="0.2">
      <c r="A7" s="247" t="s">
        <v>156</v>
      </c>
      <c r="B7" s="14"/>
      <c r="C7" s="14"/>
      <c r="D7" s="15"/>
      <c r="E7" s="64">
        <v>0.2</v>
      </c>
      <c r="F7" s="242"/>
    </row>
    <row r="8" spans="1:6" s="4" customFormat="1" ht="38.25" x14ac:dyDescent="0.2">
      <c r="A8" s="247" t="s">
        <v>155</v>
      </c>
      <c r="B8" s="14"/>
      <c r="C8" s="14"/>
      <c r="D8" s="15"/>
      <c r="E8" s="64">
        <v>-0.4</v>
      </c>
      <c r="F8" s="242"/>
    </row>
    <row r="9" spans="1:6" s="4" customFormat="1" ht="14.25" customHeight="1" x14ac:dyDescent="0.2">
      <c r="A9" s="158" t="s">
        <v>132</v>
      </c>
      <c r="B9" s="159">
        <v>18.3</v>
      </c>
      <c r="C9" s="159">
        <v>0.2</v>
      </c>
      <c r="D9" s="216">
        <v>19</v>
      </c>
      <c r="E9" s="163">
        <f>D9-B9</f>
        <v>0.69999999999999929</v>
      </c>
      <c r="F9" s="241">
        <f>D9-(B9+C9)</f>
        <v>0.5</v>
      </c>
    </row>
    <row r="10" spans="1:6" s="4" customFormat="1" ht="63.75" x14ac:dyDescent="0.2">
      <c r="A10" s="247" t="s">
        <v>153</v>
      </c>
      <c r="B10" s="14"/>
      <c r="C10" s="14"/>
      <c r="D10" s="15"/>
      <c r="E10" s="64">
        <v>-0.2</v>
      </c>
      <c r="F10" s="242"/>
    </row>
    <row r="11" spans="1:6" s="4" customFormat="1" ht="51" x14ac:dyDescent="0.2">
      <c r="A11" s="247" t="s">
        <v>152</v>
      </c>
      <c r="B11" s="14"/>
      <c r="C11" s="14"/>
      <c r="D11" s="15"/>
      <c r="E11" s="64">
        <v>0.9</v>
      </c>
      <c r="F11" s="242"/>
    </row>
    <row r="12" spans="1:6" s="4" customFormat="1" ht="14.25" customHeight="1" x14ac:dyDescent="0.2">
      <c r="A12" s="158" t="s">
        <v>133</v>
      </c>
      <c r="B12" s="159">
        <v>18.100000000000001</v>
      </c>
      <c r="C12" s="159">
        <v>1.1000000000000001</v>
      </c>
      <c r="D12" s="216">
        <v>17.7</v>
      </c>
      <c r="E12" s="163">
        <f>D12-B12</f>
        <v>-0.40000000000000213</v>
      </c>
      <c r="F12" s="241">
        <f>D12-(B12+C12)</f>
        <v>-1.5000000000000036</v>
      </c>
    </row>
    <row r="13" spans="1:6" s="4" customFormat="1" ht="45" customHeight="1" x14ac:dyDescent="0.2">
      <c r="A13" s="246" t="s">
        <v>161</v>
      </c>
      <c r="B13" s="14"/>
      <c r="C13" s="14"/>
      <c r="D13" s="15"/>
      <c r="E13" s="64"/>
      <c r="F13" s="242"/>
    </row>
    <row r="14" spans="1:6" s="4" customFormat="1" ht="71.25" x14ac:dyDescent="0.2">
      <c r="A14" s="246" t="s">
        <v>159</v>
      </c>
      <c r="B14" s="14"/>
      <c r="C14" s="14"/>
      <c r="D14" s="15"/>
      <c r="E14" s="64">
        <v>-0.6</v>
      </c>
      <c r="F14" s="242"/>
    </row>
    <row r="15" spans="1:6" s="4" customFormat="1" ht="28.5" x14ac:dyDescent="0.2">
      <c r="A15" s="246" t="s">
        <v>160</v>
      </c>
      <c r="B15" s="14"/>
      <c r="C15" s="14"/>
      <c r="D15" s="15"/>
      <c r="E15" s="64">
        <v>-0.1</v>
      </c>
      <c r="F15" s="242"/>
    </row>
    <row r="16" spans="1:6" s="4" customFormat="1" ht="33.75" customHeight="1" x14ac:dyDescent="0.2">
      <c r="A16" s="246" t="s">
        <v>158</v>
      </c>
      <c r="B16" s="14"/>
      <c r="C16" s="14"/>
      <c r="D16" s="15"/>
      <c r="E16" s="64">
        <v>0.3</v>
      </c>
      <c r="F16" s="242"/>
    </row>
    <row r="17" spans="1:6" s="4" customFormat="1" ht="57.75" customHeight="1" x14ac:dyDescent="0.2">
      <c r="A17" s="246" t="s">
        <v>157</v>
      </c>
      <c r="B17" s="14"/>
      <c r="C17" s="14"/>
      <c r="D17" s="15"/>
      <c r="E17" s="64"/>
      <c r="F17" s="242"/>
    </row>
    <row r="18" spans="1:6" s="4" customFormat="1" ht="14.25" customHeight="1" x14ac:dyDescent="0.2">
      <c r="A18" s="158" t="s">
        <v>134</v>
      </c>
      <c r="B18" s="159">
        <v>2.2999999999999998</v>
      </c>
      <c r="C18" s="159">
        <v>0.4</v>
      </c>
      <c r="D18" s="216">
        <v>2.7</v>
      </c>
      <c r="E18" s="163">
        <f>D18-B18</f>
        <v>0.40000000000000036</v>
      </c>
      <c r="F18" s="241">
        <f>D18-(B18+C18)</f>
        <v>0</v>
      </c>
    </row>
    <row r="19" spans="1:6" ht="51" x14ac:dyDescent="0.2">
      <c r="A19" s="247" t="s">
        <v>140</v>
      </c>
      <c r="B19" s="11"/>
      <c r="C19" s="11"/>
      <c r="D19" s="217"/>
      <c r="E19" s="218">
        <v>0.4</v>
      </c>
      <c r="F19" s="243"/>
    </row>
    <row r="20" spans="1:6" s="5" customFormat="1" ht="14.25" customHeight="1" x14ac:dyDescent="0.2">
      <c r="A20" s="248"/>
      <c r="B20" s="12"/>
      <c r="C20" s="12"/>
      <c r="D20" s="138"/>
      <c r="E20" s="143"/>
      <c r="F20" s="244"/>
    </row>
    <row r="21" spans="1:6" s="5" customFormat="1" ht="14.25" customHeight="1" x14ac:dyDescent="0.2">
      <c r="A21" s="265" t="s">
        <v>12</v>
      </c>
      <c r="B21" s="9"/>
      <c r="C21" s="6"/>
      <c r="D21" s="139"/>
      <c r="E21" s="145">
        <f>E15+E14+E10+E8</f>
        <v>-1.2999999999999998</v>
      </c>
      <c r="F21" s="249">
        <f>F18+F12+F6</f>
        <v>-1.7000000000000046</v>
      </c>
    </row>
    <row r="22" spans="1:6" s="5" customFormat="1" ht="14.25" customHeight="1" x14ac:dyDescent="0.2">
      <c r="A22" s="265" t="s">
        <v>16</v>
      </c>
      <c r="B22" s="7"/>
      <c r="C22" s="7"/>
      <c r="D22" s="140"/>
      <c r="E22" s="99">
        <f>E18+E16+E11+E7+E4</f>
        <v>2.5999999999999979</v>
      </c>
      <c r="F22" s="250">
        <f>F9</f>
        <v>0.5</v>
      </c>
    </row>
    <row r="23" spans="1:6" s="5" customFormat="1" ht="14.25" customHeight="1" thickBot="1" x14ac:dyDescent="0.25">
      <c r="A23" s="266" t="s">
        <v>0</v>
      </c>
      <c r="B23" s="219">
        <f>B4+B6+B9+B12+B18</f>
        <v>77.7</v>
      </c>
      <c r="C23" s="219">
        <f>C4+C6+C9+C12+C18</f>
        <v>2.5</v>
      </c>
      <c r="D23" s="220">
        <f>D4+D6+D9+D12+D18</f>
        <v>79</v>
      </c>
      <c r="E23" s="65">
        <f>E4+E6+E9+E12+E18</f>
        <v>1.2999999999999936</v>
      </c>
      <c r="F23" s="245">
        <f>F4+F6+F9+F12+F18</f>
        <v>-1.2000000000000046</v>
      </c>
    </row>
    <row r="24" spans="1:6" ht="13.5" thickTop="1" x14ac:dyDescent="0.2"/>
    <row r="25" spans="1:6" x14ac:dyDescent="0.2">
      <c r="A25" s="213" t="s">
        <v>147</v>
      </c>
    </row>
    <row r="26" spans="1:6" x14ac:dyDescent="0.2">
      <c r="A26" s="213" t="s">
        <v>162</v>
      </c>
      <c r="B26" s="3">
        <v>1.2</v>
      </c>
    </row>
    <row r="27" spans="1:6" x14ac:dyDescent="0.2">
      <c r="A27" s="213" t="s">
        <v>163</v>
      </c>
      <c r="B27" s="3">
        <v>0</v>
      </c>
    </row>
    <row r="33" spans="5:5" x14ac:dyDescent="0.2">
      <c r="E33" s="8"/>
    </row>
  </sheetData>
  <dataConsolidate>
    <dataRefs count="1">
      <dataRef ref="H5:H6" sheet="S &amp; S (3)"/>
    </dataRefs>
  </dataConsolidate>
  <mergeCells count="6">
    <mergeCell ref="E2:F2"/>
    <mergeCell ref="B2:B3"/>
    <mergeCell ref="C2:C3"/>
    <mergeCell ref="D2:D3"/>
    <mergeCell ref="A1:F1"/>
    <mergeCell ref="A2:A3"/>
  </mergeCells>
  <pageMargins left="0.70866141732283472" right="0.70866141732283472" top="0.74803149606299213" bottom="0.74803149606299213" header="0.31496062992125984" footer="0.31496062992125984"/>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4" id="{5DD4A80C-8150-4C02-B063-2603F3BA03E1}">
            <x14:iconSet custom="1">
              <x14:cfvo type="percent">
                <xm:f>0</xm:f>
              </x14:cfvo>
              <x14:cfvo type="num">
                <xm:f>0</xm:f>
              </x14:cfvo>
              <x14:cfvo type="num" gte="0">
                <xm:f>0</xm:f>
              </x14:cfvo>
              <x14:cfIcon iconSet="3TrafficLights1" iconId="2"/>
              <x14:cfIcon iconSet="3TrafficLights1" iconId="2"/>
              <x14:cfIcon iconSet="3TrafficLights1" iconId="0"/>
            </x14:iconSet>
          </x14:cfRule>
          <xm:sqref>E12:F20 E4:F9 F10</xm:sqref>
        </x14:conditionalFormatting>
        <x14:conditionalFormatting xmlns:xm="http://schemas.microsoft.com/office/excel/2006/main">
          <x14:cfRule type="iconSet" priority="3" id="{948FC8A7-6921-4E8E-82C4-48161CBFC82B}">
            <x14:iconSet custom="1">
              <x14:cfvo type="percent">
                <xm:f>0</xm:f>
              </x14:cfvo>
              <x14:cfvo type="num">
                <xm:f>0</xm:f>
              </x14:cfvo>
              <x14:cfvo type="num" gte="0">
                <xm:f>0</xm:f>
              </x14:cfvo>
              <x14:cfIcon iconSet="3TrafficLights1" iconId="2"/>
              <x14:cfIcon iconSet="3TrafficLights1" iconId="2"/>
              <x14:cfIcon iconSet="3TrafficLights1" iconId="0"/>
            </x14:iconSet>
          </x14:cfRule>
          <xm:sqref>E23:F23</xm:sqref>
        </x14:conditionalFormatting>
        <x14:conditionalFormatting xmlns:xm="http://schemas.microsoft.com/office/excel/2006/main">
          <x14:cfRule type="iconSet" priority="1" id="{B2F79B1F-0E35-4093-9AD9-A401B3AE6527}">
            <x14:iconSet custom="1">
              <x14:cfvo type="percent">
                <xm:f>0</xm:f>
              </x14:cfvo>
              <x14:cfvo type="num">
                <xm:f>0</xm:f>
              </x14:cfvo>
              <x14:cfvo type="num" gte="0">
                <xm:f>0</xm:f>
              </x14:cfvo>
              <x14:cfIcon iconSet="3TrafficLights1" iconId="2"/>
              <x14:cfIcon iconSet="3TrafficLights1" iconId="2"/>
              <x14:cfIcon iconSet="3TrafficLights1" iconId="0"/>
            </x14:iconSet>
          </x14:cfRule>
          <xm:sqref>E10</xm:sqref>
        </x14:conditionalFormatting>
        <x14:conditionalFormatting xmlns:xm="http://schemas.microsoft.com/office/excel/2006/main">
          <x14:cfRule type="iconSet" priority="7" id="{C014B4E3-6FFC-4C05-B802-EBDA4E2CC75C}">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58"/>
  <sheetViews>
    <sheetView topLeftCell="A45" workbookViewId="0">
      <selection sqref="A1:F1"/>
    </sheetView>
  </sheetViews>
  <sheetFormatPr defaultRowHeight="12.75" x14ac:dyDescent="0.2"/>
  <cols>
    <col min="1" max="1" width="59.85546875" style="1" customWidth="1"/>
    <col min="2" max="2" width="16.7109375" style="3" customWidth="1"/>
    <col min="3" max="3" width="13.7109375" customWidth="1"/>
    <col min="4" max="4" width="13" customWidth="1"/>
    <col min="5" max="5" width="18.140625" bestFit="1" customWidth="1"/>
    <col min="6" max="6" width="16.42578125" bestFit="1" customWidth="1"/>
  </cols>
  <sheetData>
    <row r="1" spans="1:6" ht="18" x14ac:dyDescent="0.2">
      <c r="A1" s="368" t="s">
        <v>15</v>
      </c>
      <c r="B1" s="369"/>
      <c r="C1" s="369"/>
      <c r="D1" s="369"/>
      <c r="E1" s="369"/>
      <c r="F1" s="370"/>
    </row>
    <row r="2" spans="1:6" ht="30.75" customHeight="1" thickBot="1" x14ac:dyDescent="0.25">
      <c r="A2" s="371" t="s">
        <v>4</v>
      </c>
      <c r="B2" s="381" t="s">
        <v>111</v>
      </c>
      <c r="C2" s="383" t="s">
        <v>112</v>
      </c>
      <c r="D2" s="385" t="s">
        <v>11</v>
      </c>
      <c r="E2" s="387" t="s">
        <v>135</v>
      </c>
      <c r="F2" s="388"/>
    </row>
    <row r="3" spans="1:6" ht="14.25" customHeight="1" thickTop="1" x14ac:dyDescent="0.2">
      <c r="A3" s="372"/>
      <c r="B3" s="382"/>
      <c r="C3" s="384"/>
      <c r="D3" s="386"/>
      <c r="E3" s="141" t="s">
        <v>113</v>
      </c>
      <c r="F3" s="263" t="s">
        <v>114</v>
      </c>
    </row>
    <row r="4" spans="1:6" ht="15" x14ac:dyDescent="0.2">
      <c r="A4" s="17" t="s">
        <v>58</v>
      </c>
      <c r="B4" s="18">
        <f>SUM(B5)</f>
        <v>-14.8</v>
      </c>
      <c r="C4" s="18">
        <f>SUM(C5)</f>
        <v>0</v>
      </c>
      <c r="D4" s="19">
        <f>SUM(D5)</f>
        <v>-14.8</v>
      </c>
      <c r="E4" s="146">
        <f>SUM(E5)</f>
        <v>0</v>
      </c>
      <c r="F4" s="157">
        <f>D4-B4-C4</f>
        <v>0</v>
      </c>
    </row>
    <row r="5" spans="1:6" ht="15" x14ac:dyDescent="0.2">
      <c r="A5" s="161" t="s">
        <v>79</v>
      </c>
      <c r="B5" s="160">
        <v>-14.8</v>
      </c>
      <c r="C5" s="160">
        <v>0</v>
      </c>
      <c r="D5" s="162">
        <v>-14.8</v>
      </c>
      <c r="E5" s="163">
        <f>D5-B5</f>
        <v>0</v>
      </c>
      <c r="F5" s="164">
        <f>D5-B5-C5</f>
        <v>0</v>
      </c>
    </row>
    <row r="6" spans="1:6" ht="14.25" x14ac:dyDescent="0.2">
      <c r="A6" s="20"/>
      <c r="B6" s="11"/>
      <c r="C6" s="11"/>
      <c r="D6" s="15"/>
      <c r="E6" s="64"/>
      <c r="F6" s="16"/>
    </row>
    <row r="7" spans="1:6" ht="15" x14ac:dyDescent="0.2">
      <c r="A7" s="21" t="s">
        <v>18</v>
      </c>
      <c r="B7" s="215">
        <f t="shared" ref="B7:D7" si="0">SUM(B8+B10+B11+B13+B14)</f>
        <v>246.4</v>
      </c>
      <c r="C7" s="215">
        <f t="shared" si="0"/>
        <v>3.1</v>
      </c>
      <c r="D7" s="215">
        <f t="shared" si="0"/>
        <v>246.8</v>
      </c>
      <c r="E7" s="147">
        <f>SUM(E8+E10+E11+E13+E14)</f>
        <v>0.39999999999999991</v>
      </c>
      <c r="F7" s="221">
        <f>SUM(F8+F10+F11+F13+F14)</f>
        <v>-2.7</v>
      </c>
    </row>
    <row r="8" spans="1:6" ht="15" x14ac:dyDescent="0.2">
      <c r="A8" s="161" t="s">
        <v>80</v>
      </c>
      <c r="B8" s="160">
        <v>200</v>
      </c>
      <c r="C8" s="160">
        <f>SUM('[1]Hent Data'!W32)/1000000</f>
        <v>0</v>
      </c>
      <c r="D8" s="162">
        <v>200</v>
      </c>
      <c r="E8" s="163">
        <f>D8-B8</f>
        <v>0</v>
      </c>
      <c r="F8" s="164">
        <f>D8-B8-C8</f>
        <v>0</v>
      </c>
    </row>
    <row r="9" spans="1:6" ht="72" customHeight="1" x14ac:dyDescent="0.2">
      <c r="A9" s="27" t="s">
        <v>143</v>
      </c>
      <c r="B9" s="14"/>
      <c r="C9" s="14"/>
      <c r="D9" s="15"/>
      <c r="E9" s="64">
        <v>0</v>
      </c>
      <c r="F9" s="16"/>
    </row>
    <row r="10" spans="1:6" ht="28.5" x14ac:dyDescent="0.2">
      <c r="A10" s="161" t="s">
        <v>81</v>
      </c>
      <c r="B10" s="160">
        <f>20.4+11</f>
        <v>31.4</v>
      </c>
      <c r="C10" s="160">
        <f>0.4+0.2</f>
        <v>0.60000000000000009</v>
      </c>
      <c r="D10" s="162">
        <v>31.4</v>
      </c>
      <c r="E10" s="163">
        <f>D10-B10</f>
        <v>0</v>
      </c>
      <c r="F10" s="164">
        <f>D10-B10-C10</f>
        <v>-0.60000000000000009</v>
      </c>
    </row>
    <row r="11" spans="1:6" ht="15" x14ac:dyDescent="0.2">
      <c r="A11" s="161" t="s">
        <v>82</v>
      </c>
      <c r="B11" s="160">
        <v>1.1000000000000001</v>
      </c>
      <c r="C11" s="160">
        <v>0</v>
      </c>
      <c r="D11" s="162">
        <v>1.5</v>
      </c>
      <c r="E11" s="163">
        <f>D11-B11</f>
        <v>0.39999999999999991</v>
      </c>
      <c r="F11" s="164">
        <f>D11-B11-C11</f>
        <v>0.39999999999999991</v>
      </c>
    </row>
    <row r="12" spans="1:6" ht="72.75" customHeight="1" x14ac:dyDescent="0.2">
      <c r="A12" s="28" t="s">
        <v>144</v>
      </c>
      <c r="B12" s="23"/>
      <c r="C12" s="23"/>
      <c r="D12" s="24"/>
      <c r="E12" s="142">
        <v>0.4</v>
      </c>
      <c r="F12" s="120"/>
    </row>
    <row r="13" spans="1:6" ht="15" x14ac:dyDescent="0.2">
      <c r="A13" s="161" t="s">
        <v>83</v>
      </c>
      <c r="B13" s="160">
        <v>10.6</v>
      </c>
      <c r="C13" s="160">
        <v>2.5</v>
      </c>
      <c r="D13" s="162">
        <v>10.6</v>
      </c>
      <c r="E13" s="163">
        <f>D13-B13</f>
        <v>0</v>
      </c>
      <c r="F13" s="164">
        <f>D13-B13-C13</f>
        <v>-2.5</v>
      </c>
    </row>
    <row r="14" spans="1:6" ht="15" x14ac:dyDescent="0.2">
      <c r="A14" s="161" t="s">
        <v>84</v>
      </c>
      <c r="B14" s="160">
        <v>3.3</v>
      </c>
      <c r="C14" s="160">
        <v>0</v>
      </c>
      <c r="D14" s="162">
        <v>3.3</v>
      </c>
      <c r="E14" s="163">
        <f>D14-B14</f>
        <v>0</v>
      </c>
      <c r="F14" s="164">
        <f>D14-B14-C14</f>
        <v>0</v>
      </c>
    </row>
    <row r="15" spans="1:6" ht="14.25" x14ac:dyDescent="0.2">
      <c r="A15" s="20"/>
      <c r="B15" s="11"/>
      <c r="C15" s="11"/>
      <c r="D15" s="15"/>
      <c r="E15" s="64"/>
      <c r="F15" s="16"/>
    </row>
    <row r="16" spans="1:6" ht="15" x14ac:dyDescent="0.2">
      <c r="A16" s="21" t="s">
        <v>17</v>
      </c>
      <c r="B16" s="25">
        <f>SUM(B17:B30)</f>
        <v>415.8</v>
      </c>
      <c r="C16" s="25">
        <f>SUM(C17:C30)</f>
        <v>8.6</v>
      </c>
      <c r="D16" s="137">
        <f>SUM(D17:D30)</f>
        <v>411.79999999999995</v>
      </c>
      <c r="E16" s="147">
        <f>SUM(E17+E22+E24+E26+E27+E28+E30)</f>
        <v>-4.0000000000000027</v>
      </c>
      <c r="F16" s="157">
        <f>D16-B16-C16</f>
        <v>-12.600000000000056</v>
      </c>
    </row>
    <row r="17" spans="1:6" ht="15" x14ac:dyDescent="0.2">
      <c r="A17" s="165" t="s">
        <v>85</v>
      </c>
      <c r="B17" s="161">
        <v>6.1</v>
      </c>
      <c r="C17" s="166">
        <v>4</v>
      </c>
      <c r="D17" s="167">
        <v>4.8</v>
      </c>
      <c r="E17" s="163">
        <f>D17-B17</f>
        <v>-1.2999999999999998</v>
      </c>
      <c r="F17" s="164">
        <f>D17-B17-C17</f>
        <v>-5.3</v>
      </c>
    </row>
    <row r="18" spans="1:6" ht="71.25" x14ac:dyDescent="0.2">
      <c r="A18" s="198" t="s">
        <v>86</v>
      </c>
      <c r="B18" s="199"/>
      <c r="C18" s="199"/>
      <c r="D18" s="200"/>
      <c r="E18" s="201">
        <v>-2</v>
      </c>
      <c r="F18" s="202"/>
    </row>
    <row r="19" spans="1:6" ht="28.5" customHeight="1" x14ac:dyDescent="0.2">
      <c r="A19" s="203" t="s">
        <v>87</v>
      </c>
      <c r="B19" s="204"/>
      <c r="C19" s="204"/>
      <c r="D19" s="205"/>
      <c r="E19" s="206">
        <v>-0.3</v>
      </c>
      <c r="F19" s="207"/>
    </row>
    <row r="20" spans="1:6" ht="57" x14ac:dyDescent="0.2">
      <c r="A20" s="208" t="s">
        <v>154</v>
      </c>
      <c r="B20" s="204"/>
      <c r="C20" s="204"/>
      <c r="D20" s="205"/>
      <c r="E20" s="206">
        <v>0.7</v>
      </c>
      <c r="F20" s="207"/>
    </row>
    <row r="21" spans="1:6" ht="14.25" x14ac:dyDescent="0.2">
      <c r="A21" s="208" t="s">
        <v>88</v>
      </c>
      <c r="B21" s="204"/>
      <c r="C21" s="204"/>
      <c r="D21" s="205"/>
      <c r="E21" s="206">
        <v>0.3</v>
      </c>
      <c r="F21" s="207"/>
    </row>
    <row r="22" spans="1:6" ht="15" x14ac:dyDescent="0.2">
      <c r="A22" s="161" t="s">
        <v>89</v>
      </c>
      <c r="B22" s="160">
        <v>125.3</v>
      </c>
      <c r="C22" s="160">
        <v>0.5</v>
      </c>
      <c r="D22" s="162">
        <v>124.3</v>
      </c>
      <c r="E22" s="163">
        <f>D22-B22</f>
        <v>-1</v>
      </c>
      <c r="F22" s="164">
        <f>D22-B22-C22</f>
        <v>-1.5</v>
      </c>
    </row>
    <row r="23" spans="1:6" ht="56.25" customHeight="1" x14ac:dyDescent="0.2">
      <c r="A23" s="28" t="s">
        <v>90</v>
      </c>
      <c r="B23" s="23"/>
      <c r="C23" s="23"/>
      <c r="D23" s="24"/>
      <c r="E23" s="142">
        <v>-1</v>
      </c>
      <c r="F23" s="120"/>
    </row>
    <row r="24" spans="1:6" ht="15" x14ac:dyDescent="0.2">
      <c r="A24" s="161" t="s">
        <v>91</v>
      </c>
      <c r="B24" s="160">
        <v>189.2</v>
      </c>
      <c r="C24" s="160">
        <v>2.2999999999999998</v>
      </c>
      <c r="D24" s="162">
        <v>187.7</v>
      </c>
      <c r="E24" s="163">
        <f>D24-B24</f>
        <v>-1.5</v>
      </c>
      <c r="F24" s="164">
        <f>D24-B24-C24</f>
        <v>-3.8</v>
      </c>
    </row>
    <row r="25" spans="1:6" ht="57" x14ac:dyDescent="0.2">
      <c r="A25" s="29" t="s">
        <v>92</v>
      </c>
      <c r="B25" s="23"/>
      <c r="C25" s="23"/>
      <c r="D25" s="24"/>
      <c r="E25" s="142">
        <v>-1.5</v>
      </c>
      <c r="F25" s="120"/>
    </row>
    <row r="26" spans="1:6" ht="15" x14ac:dyDescent="0.2">
      <c r="A26" s="161" t="s">
        <v>93</v>
      </c>
      <c r="B26" s="160">
        <v>36.6</v>
      </c>
      <c r="C26" s="160">
        <v>0.8</v>
      </c>
      <c r="D26" s="162">
        <v>36.6</v>
      </c>
      <c r="E26" s="163">
        <f>D26-B26</f>
        <v>0</v>
      </c>
      <c r="F26" s="164">
        <f>D26-B26-C26</f>
        <v>-0.8</v>
      </c>
    </row>
    <row r="27" spans="1:6" ht="15" x14ac:dyDescent="0.2">
      <c r="A27" s="161" t="s">
        <v>94</v>
      </c>
      <c r="B27" s="160">
        <v>19.5</v>
      </c>
      <c r="C27" s="160">
        <v>0.9</v>
      </c>
      <c r="D27" s="162">
        <v>19.5</v>
      </c>
      <c r="E27" s="163">
        <f>D27-B27</f>
        <v>0</v>
      </c>
      <c r="F27" s="164">
        <f>D27-B27-C27</f>
        <v>-0.9</v>
      </c>
    </row>
    <row r="28" spans="1:6" ht="15" x14ac:dyDescent="0.2">
      <c r="A28" s="161" t="s">
        <v>95</v>
      </c>
      <c r="B28" s="160">
        <v>37.200000000000003</v>
      </c>
      <c r="C28" s="160">
        <v>0.1</v>
      </c>
      <c r="D28" s="162">
        <v>36.5</v>
      </c>
      <c r="E28" s="163">
        <f>D28-B28</f>
        <v>-0.70000000000000284</v>
      </c>
      <c r="F28" s="164">
        <f>D28-B28-C28</f>
        <v>-0.80000000000000282</v>
      </c>
    </row>
    <row r="29" spans="1:6" ht="57" x14ac:dyDescent="0.2">
      <c r="A29" s="29" t="s">
        <v>96</v>
      </c>
      <c r="B29" s="23"/>
      <c r="C29" s="23"/>
      <c r="D29" s="24"/>
      <c r="E29" s="142">
        <v>-0.7</v>
      </c>
      <c r="F29" s="120"/>
    </row>
    <row r="30" spans="1:6" ht="15" x14ac:dyDescent="0.2">
      <c r="A30" s="161" t="s">
        <v>97</v>
      </c>
      <c r="B30" s="160">
        <v>1.9</v>
      </c>
      <c r="C30" s="160">
        <v>0</v>
      </c>
      <c r="D30" s="162">
        <v>2.4</v>
      </c>
      <c r="E30" s="163">
        <f>D30-B30</f>
        <v>0.5</v>
      </c>
      <c r="F30" s="164">
        <f>D30-B30-C30</f>
        <v>0.5</v>
      </c>
    </row>
    <row r="31" spans="1:6" ht="57" x14ac:dyDescent="0.2">
      <c r="A31" s="29" t="s">
        <v>68</v>
      </c>
      <c r="B31" s="23"/>
      <c r="C31" s="23"/>
      <c r="D31" s="24"/>
      <c r="E31" s="142">
        <v>0.5</v>
      </c>
      <c r="F31" s="120"/>
    </row>
    <row r="32" spans="1:6" ht="14.25" x14ac:dyDescent="0.2">
      <c r="A32" s="20"/>
      <c r="B32" s="11"/>
      <c r="C32" s="11"/>
      <c r="D32" s="15"/>
      <c r="E32" s="64"/>
      <c r="F32" s="16"/>
    </row>
    <row r="33" spans="1:8" ht="15" x14ac:dyDescent="0.2">
      <c r="A33" s="21" t="s">
        <v>98</v>
      </c>
      <c r="B33" s="25">
        <f>SUM(B35:B49)</f>
        <v>202.50000000000003</v>
      </c>
      <c r="C33" s="25">
        <f>SUM(C35:C49)</f>
        <v>3.2999999999999994</v>
      </c>
      <c r="D33" s="137">
        <f>SUM(D35:D49)</f>
        <v>204.9</v>
      </c>
      <c r="E33" s="147">
        <f>SUM(E35+E37+E38+E39+E40+E42+E43+E44+E46+E47+E49)</f>
        <v>2.3999999999999977</v>
      </c>
      <c r="F33" s="22">
        <f>D33-B33-C33</f>
        <v>-0.90000000000002212</v>
      </c>
      <c r="H33" s="251"/>
    </row>
    <row r="34" spans="1:8" ht="129.75" customHeight="1" x14ac:dyDescent="0.2">
      <c r="A34" s="30" t="s">
        <v>174</v>
      </c>
      <c r="B34" s="26"/>
      <c r="C34" s="26"/>
      <c r="D34" s="24"/>
      <c r="E34" s="142"/>
      <c r="F34" s="120"/>
    </row>
    <row r="35" spans="1:8" ht="15" x14ac:dyDescent="0.2">
      <c r="A35" s="161" t="s">
        <v>99</v>
      </c>
      <c r="B35" s="160">
        <v>28.8</v>
      </c>
      <c r="C35" s="160">
        <v>0.6</v>
      </c>
      <c r="D35" s="162">
        <v>29.9</v>
      </c>
      <c r="E35" s="163">
        <f>D35-B35</f>
        <v>1.0999999999999979</v>
      </c>
      <c r="F35" s="164">
        <f>D35-B35-C35</f>
        <v>0.49999999999999789</v>
      </c>
    </row>
    <row r="36" spans="1:8" ht="42.75" x14ac:dyDescent="0.2">
      <c r="A36" s="31" t="s">
        <v>69</v>
      </c>
      <c r="B36" s="23"/>
      <c r="C36" s="23"/>
      <c r="D36" s="24"/>
      <c r="E36" s="142">
        <v>1.1000000000000001</v>
      </c>
      <c r="F36" s="120"/>
    </row>
    <row r="37" spans="1:8" ht="15" x14ac:dyDescent="0.2">
      <c r="A37" s="161" t="s">
        <v>100</v>
      </c>
      <c r="B37" s="160">
        <v>3.9</v>
      </c>
      <c r="C37" s="160">
        <v>0</v>
      </c>
      <c r="D37" s="162">
        <v>3.9</v>
      </c>
      <c r="E37" s="163">
        <f>D37-B37</f>
        <v>0</v>
      </c>
      <c r="F37" s="164">
        <f>D37-B37-C37</f>
        <v>0</v>
      </c>
    </row>
    <row r="38" spans="1:8" ht="15" x14ac:dyDescent="0.2">
      <c r="A38" s="161" t="s">
        <v>101</v>
      </c>
      <c r="B38" s="160">
        <v>3.2</v>
      </c>
      <c r="C38" s="160">
        <v>0.1</v>
      </c>
      <c r="D38" s="162">
        <v>3.2</v>
      </c>
      <c r="E38" s="163">
        <f>D38-B38</f>
        <v>0</v>
      </c>
      <c r="F38" s="164">
        <f>D38-B38-C38</f>
        <v>-0.1</v>
      </c>
    </row>
    <row r="39" spans="1:8" ht="15" x14ac:dyDescent="0.2">
      <c r="A39" s="161" t="s">
        <v>102</v>
      </c>
      <c r="B39" s="160">
        <v>1.6</v>
      </c>
      <c r="C39" s="160">
        <v>0.1</v>
      </c>
      <c r="D39" s="162">
        <v>1.6</v>
      </c>
      <c r="E39" s="163">
        <f>D39-B39</f>
        <v>0</v>
      </c>
      <c r="F39" s="164">
        <f>D39-B39-C39</f>
        <v>-0.1</v>
      </c>
    </row>
    <row r="40" spans="1:8" ht="15" x14ac:dyDescent="0.2">
      <c r="A40" s="161" t="s">
        <v>103</v>
      </c>
      <c r="B40" s="160">
        <v>6.5</v>
      </c>
      <c r="C40" s="160">
        <v>0</v>
      </c>
      <c r="D40" s="162">
        <v>7.6</v>
      </c>
      <c r="E40" s="163">
        <f>D40-B40</f>
        <v>1.0999999999999996</v>
      </c>
      <c r="F40" s="164">
        <f>D40-B40-C40</f>
        <v>1.0999999999999996</v>
      </c>
    </row>
    <row r="41" spans="1:8" ht="57.75" customHeight="1" x14ac:dyDescent="0.2">
      <c r="A41" s="32" t="s">
        <v>104</v>
      </c>
      <c r="B41" s="23"/>
      <c r="C41" s="23"/>
      <c r="D41" s="24"/>
      <c r="E41" s="142">
        <v>1.1000000000000001</v>
      </c>
      <c r="F41" s="120"/>
    </row>
    <row r="42" spans="1:8" ht="15" x14ac:dyDescent="0.2">
      <c r="A42" s="161" t="s">
        <v>19</v>
      </c>
      <c r="B42" s="160">
        <f>24.1+69.3+34.3-4.7-0.8</f>
        <v>122.2</v>
      </c>
      <c r="C42" s="160">
        <f>0.9+0.5+0.9+0-0.1</f>
        <v>2.1999999999999997</v>
      </c>
      <c r="D42" s="162">
        <v>122.2</v>
      </c>
      <c r="E42" s="163">
        <f>D42-B42</f>
        <v>0</v>
      </c>
      <c r="F42" s="164">
        <f>D42-B42-C42</f>
        <v>-2.1999999999999997</v>
      </c>
    </row>
    <row r="43" spans="1:8" ht="15" x14ac:dyDescent="0.2">
      <c r="A43" s="161" t="s">
        <v>105</v>
      </c>
      <c r="B43" s="160">
        <v>2.5</v>
      </c>
      <c r="C43" s="160">
        <v>0</v>
      </c>
      <c r="D43" s="162">
        <v>2.5</v>
      </c>
      <c r="E43" s="163">
        <f>D43-B43</f>
        <v>0</v>
      </c>
      <c r="F43" s="164">
        <f>D43-B43-C43</f>
        <v>0</v>
      </c>
    </row>
    <row r="44" spans="1:8" ht="15" x14ac:dyDescent="0.2">
      <c r="A44" s="161" t="s">
        <v>106</v>
      </c>
      <c r="B44" s="160">
        <v>0.3</v>
      </c>
      <c r="C44" s="160">
        <v>0</v>
      </c>
      <c r="D44" s="162">
        <v>1</v>
      </c>
      <c r="E44" s="163">
        <f>D44-B44</f>
        <v>0.7</v>
      </c>
      <c r="F44" s="164">
        <f>D44-B44-C44</f>
        <v>0.7</v>
      </c>
    </row>
    <row r="45" spans="1:8" ht="113.25" customHeight="1" x14ac:dyDescent="0.2">
      <c r="A45" s="32" t="s">
        <v>70</v>
      </c>
      <c r="B45" s="23"/>
      <c r="C45" s="23"/>
      <c r="D45" s="24"/>
      <c r="E45" s="142">
        <v>0.7</v>
      </c>
      <c r="F45" s="120"/>
    </row>
    <row r="46" spans="1:8" ht="15" x14ac:dyDescent="0.2">
      <c r="A46" s="161" t="s">
        <v>107</v>
      </c>
      <c r="B46" s="160">
        <f>10+19</f>
        <v>29</v>
      </c>
      <c r="C46" s="160">
        <v>0.3</v>
      </c>
      <c r="D46" s="162">
        <v>29</v>
      </c>
      <c r="E46" s="163">
        <f>D46-B46</f>
        <v>0</v>
      </c>
      <c r="F46" s="164">
        <f>D46-B46-C46</f>
        <v>-0.3</v>
      </c>
    </row>
    <row r="47" spans="1:8" ht="15" x14ac:dyDescent="0.2">
      <c r="A47" s="161" t="s">
        <v>108</v>
      </c>
      <c r="B47" s="160">
        <v>0.9</v>
      </c>
      <c r="C47" s="160">
        <v>0</v>
      </c>
      <c r="D47" s="162">
        <v>0.4</v>
      </c>
      <c r="E47" s="163">
        <f>D47-B47</f>
        <v>-0.5</v>
      </c>
      <c r="F47" s="164">
        <f>D47-B47-C47</f>
        <v>-0.5</v>
      </c>
    </row>
    <row r="48" spans="1:8" s="4" customFormat="1" ht="57" x14ac:dyDescent="0.2">
      <c r="A48" s="29" t="s">
        <v>109</v>
      </c>
      <c r="B48" s="23"/>
      <c r="C48" s="23"/>
      <c r="D48" s="24"/>
      <c r="E48" s="142">
        <v>-0.5</v>
      </c>
      <c r="F48" s="120"/>
    </row>
    <row r="49" spans="1:6" s="4" customFormat="1" ht="14.25" x14ac:dyDescent="0.2">
      <c r="A49" s="161" t="s">
        <v>110</v>
      </c>
      <c r="B49" s="160">
        <v>3.6</v>
      </c>
      <c r="C49" s="160">
        <v>0</v>
      </c>
      <c r="D49" s="162">
        <v>3.6</v>
      </c>
      <c r="E49" s="168">
        <f>D49-B49</f>
        <v>0</v>
      </c>
      <c r="F49" s="164">
        <f>D49-B49-C49</f>
        <v>0</v>
      </c>
    </row>
    <row r="50" spans="1:6" s="5" customFormat="1" ht="14.25" customHeight="1" x14ac:dyDescent="0.2">
      <c r="A50" s="10"/>
      <c r="B50" s="12"/>
      <c r="C50" s="12"/>
      <c r="D50" s="138"/>
      <c r="E50" s="143"/>
      <c r="F50" s="13"/>
    </row>
    <row r="51" spans="1:6" s="5" customFormat="1" ht="14.25" customHeight="1" x14ac:dyDescent="0.2">
      <c r="A51" s="265" t="s">
        <v>12</v>
      </c>
      <c r="B51" s="9"/>
      <c r="C51" s="6"/>
      <c r="D51" s="139"/>
      <c r="E51" s="144">
        <f>SUM(E17+E22+E24+E28+E47)</f>
        <v>-5.0000000000000027</v>
      </c>
      <c r="F51" s="121">
        <f>F47+F46+F43+F42+F39+F38+F37+F28+F27+F26+F24+F22+F17+F14+F13+F10+F8+F5</f>
        <v>-19.400000000000006</v>
      </c>
    </row>
    <row r="52" spans="1:6" s="5" customFormat="1" ht="14.25" customHeight="1" x14ac:dyDescent="0.2">
      <c r="A52" s="265" t="s">
        <v>16</v>
      </c>
      <c r="B52" s="7"/>
      <c r="C52" s="7"/>
      <c r="D52" s="140"/>
      <c r="E52" s="145">
        <f>SUM(E11+E30+E35+E40+E44)</f>
        <v>3.7999999999999972</v>
      </c>
      <c r="F52" s="122">
        <f>F44+F40+F35+F30+F11</f>
        <v>3.1999999999999975</v>
      </c>
    </row>
    <row r="53" spans="1:6" s="5" customFormat="1" ht="14.25" customHeight="1" thickBot="1" x14ac:dyDescent="0.25">
      <c r="A53" s="266" t="s">
        <v>0</v>
      </c>
      <c r="B53" s="219">
        <f>SUM(B4+B7+B16+B33)</f>
        <v>849.9</v>
      </c>
      <c r="C53" s="219">
        <f t="shared" ref="C53:D53" si="1">SUM(C4+C7+C16+C33)</f>
        <v>14.999999999999998</v>
      </c>
      <c r="D53" s="220">
        <f t="shared" si="1"/>
        <v>848.69999999999993</v>
      </c>
      <c r="E53" s="65">
        <f>SUM(E4+E7+E16+E33)</f>
        <v>-1.2000000000000051</v>
      </c>
      <c r="F53" s="222">
        <f>SUM(F4+F7+F16+F33)</f>
        <v>-16.200000000000081</v>
      </c>
    </row>
    <row r="54" spans="1:6" ht="13.5" thickTop="1" x14ac:dyDescent="0.2"/>
    <row r="56" spans="1:6" x14ac:dyDescent="0.2">
      <c r="A56" s="213" t="s">
        <v>147</v>
      </c>
    </row>
    <row r="57" spans="1:6" x14ac:dyDescent="0.2">
      <c r="A57" s="213" t="s">
        <v>162</v>
      </c>
      <c r="B57" s="3">
        <v>15</v>
      </c>
    </row>
    <row r="58" spans="1:6" x14ac:dyDescent="0.2">
      <c r="A58" s="213" t="s">
        <v>163</v>
      </c>
      <c r="B58" s="3">
        <v>1.2</v>
      </c>
    </row>
  </sheetData>
  <dataConsolidate>
    <dataRefs count="1">
      <dataRef ref="H5:H6" sheet="S &amp; S (3)"/>
    </dataRefs>
  </dataConsolidate>
  <mergeCells count="6">
    <mergeCell ref="B2:B3"/>
    <mergeCell ref="C2:C3"/>
    <mergeCell ref="D2:D3"/>
    <mergeCell ref="E2:F2"/>
    <mergeCell ref="A1:F1"/>
    <mergeCell ref="A2:A3"/>
  </mergeCells>
  <pageMargins left="0.51181102362204722" right="0.51181102362204722" top="0.55118110236220474" bottom="0.55118110236220474"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0E3FCFE2-91F3-448C-9B71-686926406A11}">
            <x14:iconSet custom="1">
              <x14:cfvo type="percent">
                <xm:f>0</xm:f>
              </x14:cfvo>
              <x14:cfvo type="num">
                <xm:f>0</xm:f>
              </x14:cfvo>
              <x14:cfvo type="num" gte="0">
                <xm:f>0</xm:f>
              </x14:cfvo>
              <x14:cfIcon iconSet="3TrafficLights1" iconId="2"/>
              <x14:cfIcon iconSet="3TrafficLights1" iconId="2"/>
              <x14:cfIcon iconSet="3TrafficLights1" iconId="0"/>
            </x14:iconSet>
          </x14:cfRule>
          <xm:sqref>B7:D7 E4:F50</xm:sqref>
        </x14:conditionalFormatting>
        <x14:conditionalFormatting xmlns:xm="http://schemas.microsoft.com/office/excel/2006/main">
          <x14:cfRule type="iconSet" priority="1" id="{6D4F8A45-48DE-410B-AF31-93E99403A4DC}">
            <x14:iconSet custom="1">
              <x14:cfvo type="percent">
                <xm:f>0</xm:f>
              </x14:cfvo>
              <x14:cfvo type="num">
                <xm:f>0</xm:f>
              </x14:cfvo>
              <x14:cfvo type="num" gte="0">
                <xm:f>0</xm:f>
              </x14:cfvo>
              <x14:cfIcon iconSet="3TrafficLights1" iconId="2"/>
              <x14:cfIcon iconSet="3TrafficLights1" iconId="2"/>
              <x14:cfIcon iconSet="3TrafficLights1" iconId="0"/>
            </x14:iconSet>
          </x14:cfRule>
          <xm:sqref>E53:F53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39"/>
  <sheetViews>
    <sheetView zoomScaleNormal="100" workbookViewId="0">
      <selection sqref="A1:D1"/>
    </sheetView>
  </sheetViews>
  <sheetFormatPr defaultRowHeight="12.75" x14ac:dyDescent="0.2"/>
  <cols>
    <col min="1" max="1" width="94.7109375" style="60" customWidth="1"/>
    <col min="2" max="2" width="10.42578125" style="61" customWidth="1"/>
    <col min="3" max="3" width="12.85546875" style="33" customWidth="1"/>
    <col min="4" max="4" width="19.85546875" style="33" customWidth="1"/>
    <col min="5" max="16384" width="9.140625" style="33"/>
  </cols>
  <sheetData>
    <row r="1" spans="1:4" ht="18.75" thickBot="1" x14ac:dyDescent="0.25">
      <c r="A1" s="392" t="s">
        <v>15</v>
      </c>
      <c r="B1" s="393"/>
      <c r="C1" s="393"/>
      <c r="D1" s="393"/>
    </row>
    <row r="2" spans="1:4" ht="30" customHeight="1" thickTop="1" x14ac:dyDescent="0.2">
      <c r="A2" s="371" t="s">
        <v>5</v>
      </c>
      <c r="B2" s="373" t="s">
        <v>136</v>
      </c>
      <c r="C2" s="389" t="s">
        <v>11</v>
      </c>
      <c r="D2" s="390" t="s">
        <v>123</v>
      </c>
    </row>
    <row r="3" spans="1:4" ht="12.75" customHeight="1" x14ac:dyDescent="0.2">
      <c r="A3" s="372"/>
      <c r="B3" s="374"/>
      <c r="C3" s="378"/>
      <c r="D3" s="391"/>
    </row>
    <row r="4" spans="1:4" ht="14.25" customHeight="1" x14ac:dyDescent="0.25">
      <c r="A4" s="72" t="s">
        <v>32</v>
      </c>
      <c r="B4" s="116">
        <v>18.600000000000001</v>
      </c>
      <c r="C4" s="148">
        <f>B4+D4</f>
        <v>10.600000000000001</v>
      </c>
      <c r="D4" s="150">
        <f>SUBTOTAL(9,D5:D9)</f>
        <v>-8</v>
      </c>
    </row>
    <row r="5" spans="1:4" ht="14.25" customHeight="1" x14ac:dyDescent="0.2">
      <c r="A5" s="190" t="s">
        <v>33</v>
      </c>
      <c r="B5" s="209"/>
      <c r="C5" s="192"/>
      <c r="D5" s="210">
        <v>-4.5</v>
      </c>
    </row>
    <row r="6" spans="1:4" ht="14.25" customHeight="1" x14ac:dyDescent="0.2">
      <c r="A6" s="194" t="s">
        <v>34</v>
      </c>
      <c r="B6" s="211"/>
      <c r="C6" s="196"/>
      <c r="D6" s="212">
        <v>-2.5</v>
      </c>
    </row>
    <row r="7" spans="1:4" ht="14.25" customHeight="1" x14ac:dyDescent="0.2">
      <c r="A7" s="194" t="s">
        <v>35</v>
      </c>
      <c r="B7" s="211"/>
      <c r="C7" s="196"/>
      <c r="D7" s="212">
        <v>-2.5</v>
      </c>
    </row>
    <row r="8" spans="1:4" ht="14.25" customHeight="1" x14ac:dyDescent="0.2">
      <c r="A8" s="194" t="s">
        <v>36</v>
      </c>
      <c r="B8" s="211"/>
      <c r="C8" s="196"/>
      <c r="D8" s="212">
        <v>0.5</v>
      </c>
    </row>
    <row r="9" spans="1:4" ht="14.25" customHeight="1" x14ac:dyDescent="0.2">
      <c r="A9" s="110" t="s">
        <v>37</v>
      </c>
      <c r="B9" s="117"/>
      <c r="C9" s="103"/>
      <c r="D9" s="151">
        <v>1</v>
      </c>
    </row>
    <row r="10" spans="1:4" ht="14.25" customHeight="1" x14ac:dyDescent="0.25">
      <c r="A10" s="72" t="s">
        <v>38</v>
      </c>
      <c r="B10" s="116">
        <v>225.7</v>
      </c>
      <c r="C10" s="148">
        <f>B10+D10</f>
        <v>222.7</v>
      </c>
      <c r="D10" s="150">
        <f>SUBTOTAL(9,D11)</f>
        <v>-3</v>
      </c>
    </row>
    <row r="11" spans="1:4" ht="14.25" customHeight="1" x14ac:dyDescent="0.2">
      <c r="A11" s="110" t="s">
        <v>141</v>
      </c>
      <c r="B11" s="118"/>
      <c r="C11" s="149"/>
      <c r="D11" s="152">
        <v>-3</v>
      </c>
    </row>
    <row r="12" spans="1:4" s="44" customFormat="1" ht="14.25" customHeight="1" x14ac:dyDescent="0.25">
      <c r="A12" s="72" t="s">
        <v>39</v>
      </c>
      <c r="B12" s="116">
        <v>66.900000000000006</v>
      </c>
      <c r="C12" s="148">
        <v>62.900000000000006</v>
      </c>
      <c r="D12" s="150">
        <f>SUBTOTAL(9,D13)</f>
        <v>-4</v>
      </c>
    </row>
    <row r="13" spans="1:4" s="44" customFormat="1" ht="28.5" customHeight="1" x14ac:dyDescent="0.2">
      <c r="A13" s="110" t="s">
        <v>40</v>
      </c>
      <c r="B13" s="118"/>
      <c r="C13" s="149"/>
      <c r="D13" s="152">
        <v>-4</v>
      </c>
    </row>
    <row r="14" spans="1:4" s="44" customFormat="1" ht="14.25" customHeight="1" x14ac:dyDescent="0.25">
      <c r="A14" s="72" t="s">
        <v>41</v>
      </c>
      <c r="B14" s="116">
        <v>66</v>
      </c>
      <c r="C14" s="148">
        <v>69</v>
      </c>
      <c r="D14" s="150">
        <f>SUBTOTAL(9,D15)</f>
        <v>3</v>
      </c>
    </row>
    <row r="15" spans="1:4" s="44" customFormat="1" ht="14.25" customHeight="1" x14ac:dyDescent="0.2">
      <c r="A15" s="110" t="s">
        <v>42</v>
      </c>
      <c r="B15" s="117"/>
      <c r="C15" s="103"/>
      <c r="D15" s="151">
        <v>3</v>
      </c>
    </row>
    <row r="16" spans="1:4" s="44" customFormat="1" ht="14.25" customHeight="1" x14ac:dyDescent="0.25">
      <c r="A16" s="72" t="s">
        <v>43</v>
      </c>
      <c r="B16" s="116">
        <v>19.8</v>
      </c>
      <c r="C16" s="148">
        <v>16.3</v>
      </c>
      <c r="D16" s="150">
        <f>SUBTOTAL(9,D17)</f>
        <v>-3.5</v>
      </c>
    </row>
    <row r="17" spans="1:4" s="44" customFormat="1" ht="28.5" x14ac:dyDescent="0.2">
      <c r="A17" s="110" t="s">
        <v>44</v>
      </c>
      <c r="B17" s="117"/>
      <c r="C17" s="103"/>
      <c r="D17" s="151">
        <v>-3.5</v>
      </c>
    </row>
    <row r="18" spans="1:4" s="44" customFormat="1" ht="14.25" customHeight="1" x14ac:dyDescent="0.25">
      <c r="A18" s="72" t="s">
        <v>45</v>
      </c>
      <c r="B18" s="116">
        <v>62.2</v>
      </c>
      <c r="C18" s="148">
        <v>67.2</v>
      </c>
      <c r="D18" s="150">
        <f>SUBTOTAL(9,D19)</f>
        <v>5</v>
      </c>
    </row>
    <row r="19" spans="1:4" s="44" customFormat="1" ht="28.5" x14ac:dyDescent="0.2">
      <c r="A19" s="110" t="s">
        <v>46</v>
      </c>
      <c r="B19" s="117"/>
      <c r="C19" s="103"/>
      <c r="D19" s="151">
        <v>5</v>
      </c>
    </row>
    <row r="20" spans="1:4" s="44" customFormat="1" ht="14.25" customHeight="1" x14ac:dyDescent="0.25">
      <c r="A20" s="72" t="s">
        <v>47</v>
      </c>
      <c r="B20" s="116">
        <v>24.3</v>
      </c>
      <c r="C20" s="148">
        <v>29.3</v>
      </c>
      <c r="D20" s="150">
        <f>SUBTOTAL(9,D21)</f>
        <v>5</v>
      </c>
    </row>
    <row r="21" spans="1:4" s="44" customFormat="1" ht="28.5" x14ac:dyDescent="0.2">
      <c r="A21" s="110" t="s">
        <v>48</v>
      </c>
      <c r="B21" s="117"/>
      <c r="C21" s="103"/>
      <c r="D21" s="151">
        <v>5</v>
      </c>
    </row>
    <row r="22" spans="1:4" s="44" customFormat="1" ht="14.25" customHeight="1" x14ac:dyDescent="0.25">
      <c r="A22" s="72" t="s">
        <v>49</v>
      </c>
      <c r="B22" s="116">
        <v>13.2</v>
      </c>
      <c r="C22" s="148">
        <v>12.7</v>
      </c>
      <c r="D22" s="150">
        <f>SUBTOTAL(9,D23)</f>
        <v>-0.5</v>
      </c>
    </row>
    <row r="23" spans="1:4" s="44" customFormat="1" ht="28.5" x14ac:dyDescent="0.2">
      <c r="A23" s="110" t="s">
        <v>50</v>
      </c>
      <c r="B23" s="117"/>
      <c r="C23" s="103"/>
      <c r="D23" s="151">
        <v>-0.5</v>
      </c>
    </row>
    <row r="24" spans="1:4" s="44" customFormat="1" ht="14.25" customHeight="1" x14ac:dyDescent="0.25">
      <c r="A24" s="72" t="s">
        <v>51</v>
      </c>
      <c r="B24" s="116">
        <v>18.399999999999999</v>
      </c>
      <c r="C24" s="148">
        <v>19.899999999999999</v>
      </c>
      <c r="D24" s="150">
        <f>SUBTOTAL(9,D25)</f>
        <v>1.5</v>
      </c>
    </row>
    <row r="25" spans="1:4" s="44" customFormat="1" ht="28.5" x14ac:dyDescent="0.2">
      <c r="A25" s="110" t="s">
        <v>52</v>
      </c>
      <c r="B25" s="117"/>
      <c r="C25" s="103"/>
      <c r="D25" s="151">
        <v>1.5</v>
      </c>
    </row>
    <row r="26" spans="1:4" s="44" customFormat="1" ht="14.25" customHeight="1" x14ac:dyDescent="0.25">
      <c r="A26" s="72" t="s">
        <v>53</v>
      </c>
      <c r="B26" s="116">
        <v>-13.8</v>
      </c>
      <c r="C26" s="148">
        <v>-13.3</v>
      </c>
      <c r="D26" s="150">
        <f>SUBTOTAL(9,D27)</f>
        <v>0.5</v>
      </c>
    </row>
    <row r="27" spans="1:4" s="44" customFormat="1" ht="14.25" x14ac:dyDescent="0.2">
      <c r="A27" s="110" t="s">
        <v>54</v>
      </c>
      <c r="B27" s="117"/>
      <c r="C27" s="103"/>
      <c r="D27" s="151">
        <v>0.5</v>
      </c>
    </row>
    <row r="28" spans="1:4" ht="14.25" customHeight="1" x14ac:dyDescent="0.25">
      <c r="A28" s="72" t="s">
        <v>55</v>
      </c>
      <c r="B28" s="116">
        <v>1.6</v>
      </c>
      <c r="C28" s="148">
        <v>0.8</v>
      </c>
      <c r="D28" s="150">
        <f>SUBTOTAL(9,D29)</f>
        <v>-0.8</v>
      </c>
    </row>
    <row r="29" spans="1:4" ht="14.25" x14ac:dyDescent="0.2">
      <c r="A29" s="110" t="s">
        <v>56</v>
      </c>
      <c r="B29" s="117"/>
      <c r="C29" s="103"/>
      <c r="D29" s="151">
        <v>-0.8</v>
      </c>
    </row>
    <row r="30" spans="1:4" ht="14.25" customHeight="1" x14ac:dyDescent="0.25">
      <c r="A30" s="72" t="s">
        <v>57</v>
      </c>
      <c r="B30" s="116">
        <v>148.30000000000001</v>
      </c>
      <c r="C30" s="148">
        <f>B30+D30</f>
        <v>148.30000000000001</v>
      </c>
      <c r="D30" s="150">
        <f>SUBTOTAL(9,D31)</f>
        <v>0</v>
      </c>
    </row>
    <row r="31" spans="1:4" ht="14.25" customHeight="1" x14ac:dyDescent="0.2">
      <c r="A31" s="105"/>
      <c r="B31" s="119"/>
      <c r="C31" s="106"/>
      <c r="D31" s="153"/>
    </row>
    <row r="32" spans="1:4" s="57" customFormat="1" ht="14.25" customHeight="1" x14ac:dyDescent="0.2">
      <c r="A32" s="265" t="s">
        <v>12</v>
      </c>
      <c r="B32" s="71"/>
      <c r="C32" s="71"/>
      <c r="D32" s="95">
        <f>D29+D23+D17+D13+D11+D7+D6+D5</f>
        <v>-21.3</v>
      </c>
    </row>
    <row r="33" spans="1:4" s="57" customFormat="1" ht="14.25" customHeight="1" x14ac:dyDescent="0.2">
      <c r="A33" s="265" t="s">
        <v>16</v>
      </c>
      <c r="B33" s="58"/>
      <c r="C33" s="59"/>
      <c r="D33" s="154">
        <f>D27+D25+D21+D19+D15+D9+D8</f>
        <v>16.5</v>
      </c>
    </row>
    <row r="34" spans="1:4" s="57" customFormat="1" ht="14.25" customHeight="1" thickBot="1" x14ac:dyDescent="0.25">
      <c r="A34" s="266" t="s">
        <v>0</v>
      </c>
      <c r="B34" s="114">
        <f>SUM(B4:B31)</f>
        <v>651.20000000000005</v>
      </c>
      <c r="C34" s="115">
        <f>SUM(C4:C31)</f>
        <v>646.4</v>
      </c>
      <c r="D34" s="98">
        <f>SUBTOTAL(9,D4:D31)</f>
        <v>-4.8</v>
      </c>
    </row>
    <row r="35" spans="1:4" ht="13.5" thickTop="1" x14ac:dyDescent="0.2"/>
    <row r="37" spans="1:4" x14ac:dyDescent="0.2">
      <c r="A37" s="213" t="s">
        <v>147</v>
      </c>
    </row>
    <row r="38" spans="1:4" x14ac:dyDescent="0.2">
      <c r="A38" s="213" t="s">
        <v>162</v>
      </c>
      <c r="B38" s="61">
        <v>0</v>
      </c>
    </row>
    <row r="39" spans="1:4" x14ac:dyDescent="0.2">
      <c r="A39" s="213" t="s">
        <v>163</v>
      </c>
      <c r="B39" s="61">
        <f>-D34</f>
        <v>4.8</v>
      </c>
    </row>
  </sheetData>
  <dataConsolidate>
    <dataRefs count="1">
      <dataRef ref="H5:H6" sheet="S &amp; S (3)" r:id="rId1"/>
    </dataRefs>
  </dataConsolidate>
  <mergeCells count="5">
    <mergeCell ref="B2:B3"/>
    <mergeCell ref="C2:C3"/>
    <mergeCell ref="D2:D3"/>
    <mergeCell ref="A1:D1"/>
    <mergeCell ref="A2:A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1" id="{7B99452C-3274-4E06-94E0-ADC61239CB5B}">
            <x14:iconSet custom="1">
              <x14:cfvo type="percent">
                <xm:f>0</xm:f>
              </x14:cfvo>
              <x14:cfvo type="num">
                <xm:f>0</xm:f>
              </x14:cfvo>
              <x14:cfvo type="num" gte="0">
                <xm:f>0</xm:f>
              </x14:cfvo>
              <x14:cfIcon iconSet="3TrafficLights1" iconId="2"/>
              <x14:cfIcon iconSet="3TrafficLights1" iconId="2"/>
              <x14:cfIcon iconSet="3TrafficLights1" iconId="0"/>
            </x14:iconSet>
          </x14:cfRule>
          <xm:sqref>D4:D30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57776/18</EnclosureFileNumber>
    <MeetingStartDate xmlns="d08b57ff-b9b7-4581-975d-98f87b579a51">2018-05-29T16:00:00+00:00</MeetingStartDate>
    <AgendaId xmlns="d08b57ff-b9b7-4581-975d-98f87b579a51">8401</AgendaId>
    <AccessLevel xmlns="d08b57ff-b9b7-4581-975d-98f87b579a51">1</AccessLevel>
    <EnclosureType xmlns="d08b57ff-b9b7-4581-975d-98f87b579a51">Enclosure</EnclosureType>
    <CommitteeName xmlns="d08b57ff-b9b7-4581-975d-98f87b579a51">Byrådet</CommitteeName>
    <FusionId xmlns="d08b57ff-b9b7-4581-975d-98f87b579a51">2866636</FusionId>
    <DocumentType xmlns="d08b57ff-b9b7-4581-975d-98f87b579a51"/>
    <AgendaAccessLevelName xmlns="d08b57ff-b9b7-4581-975d-98f87b579a51">Åben</AgendaAccessLevelName>
    <UNC xmlns="d08b57ff-b9b7-4581-975d-98f87b579a51">2606808</UNC>
    <MeetingDateAndTime xmlns="d08b57ff-b9b7-4581-975d-98f87b579a51">29-05-2018 fra 18:00 - 20:45</MeetingDateAndTime>
    <MeetingTitle xmlns="d08b57ff-b9b7-4581-975d-98f87b579a51">29-05-2018</MeetingTitle>
    <MeetingEndDate xmlns="d08b57ff-b9b7-4581-975d-98f87b579a51">2018-05-29T18:45:00+00:00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62D1ABAF-A5ED-49BA-8170-356CE9E41A58}"/>
</file>

<file path=customXml/itemProps2.xml><?xml version="1.0" encoding="utf-8"?>
<ds:datastoreItem xmlns:ds="http://schemas.openxmlformats.org/officeDocument/2006/customXml" ds:itemID="{B5A74BB3-0D19-4F3A-91F9-5DEA358CB62B}"/>
</file>

<file path=customXml/itemProps3.xml><?xml version="1.0" encoding="utf-8"?>
<ds:datastoreItem xmlns:ds="http://schemas.openxmlformats.org/officeDocument/2006/customXml" ds:itemID="{5DF78288-F0A4-4BB0-9615-5739D0C0EF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12</vt:i4>
      </vt:variant>
    </vt:vector>
  </HeadingPairs>
  <TitlesOfParts>
    <vt:vector size="21" baseType="lpstr">
      <vt:lpstr>Fordelt på udgifter - Tabel</vt:lpstr>
      <vt:lpstr>Samlet oversigt - Tabel</vt:lpstr>
      <vt:lpstr>Samlet</vt:lpstr>
      <vt:lpstr>Ø &amp; E</vt:lpstr>
      <vt:lpstr>P &amp; T</vt:lpstr>
      <vt:lpstr>B &amp; L</vt:lpstr>
      <vt:lpstr>K &amp; F</vt:lpstr>
      <vt:lpstr>S &amp; S</vt:lpstr>
      <vt:lpstr>A &amp; I</vt:lpstr>
      <vt:lpstr>'A &amp; I'!Udskriftsområde</vt:lpstr>
      <vt:lpstr>'B &amp; L'!Udskriftsområde</vt:lpstr>
      <vt:lpstr>'K &amp; F'!Udskriftsområde</vt:lpstr>
      <vt:lpstr>'P &amp; T'!Udskriftsområde</vt:lpstr>
      <vt:lpstr>'S &amp; S'!Udskriftsområde</vt:lpstr>
      <vt:lpstr>'Ø &amp; E'!Udskriftsområde</vt:lpstr>
      <vt:lpstr>'A &amp; I'!Udskriftstitler</vt:lpstr>
      <vt:lpstr>'B &amp; L'!Udskriftstitler</vt:lpstr>
      <vt:lpstr>'K &amp; F'!Udskriftstitler</vt:lpstr>
      <vt:lpstr>'P &amp; T'!Udskriftstitler</vt:lpstr>
      <vt:lpstr>'S &amp; S'!Udskriftstitler</vt:lpstr>
      <vt:lpstr>'Ø &amp; E'!Udskriftstitler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BYR-29-05-2018 - Bilag 190.01 Budgetopfølgning 31 marts 2018</dc:title>
  <dc:subject>ØVRIGE</dc:subject>
  <dc:creator>JOPE</dc:creator>
  <dc:description>Budgetopfølgning pr. 30. september 2012</dc:description>
  <cp:lastModifiedBy>Johann Nielsen</cp:lastModifiedBy>
  <cp:lastPrinted>2018-05-03T09:18:23Z</cp:lastPrinted>
  <dcterms:created xsi:type="dcterms:W3CDTF">1996-11-12T13:28:11Z</dcterms:created>
  <dcterms:modified xsi:type="dcterms:W3CDTF">2018-06-08T10:57:11Z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